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atamaran" sheetId="1" r:id="rId1"/>
    <sheet name="Calcul" sheetId="2" r:id="rId2"/>
    <sheet name="Synthese" sheetId="3" r:id="rId3"/>
  </sheets>
  <definedNames>
    <definedName name="hcgb">#REF!</definedName>
  </definedNames>
  <calcPr fullCalcOnLoad="1"/>
</workbook>
</file>

<file path=xl/sharedStrings.xml><?xml version="1.0" encoding="utf-8"?>
<sst xmlns="http://schemas.openxmlformats.org/spreadsheetml/2006/main" count="80" uniqueCount="65">
  <si>
    <t>Dart 18</t>
  </si>
  <si>
    <t>Hobie Pacific</t>
  </si>
  <si>
    <t>Nacra 570</t>
  </si>
  <si>
    <t>Largeur</t>
  </si>
  <si>
    <t>Poids</t>
  </si>
  <si>
    <t>Hobie 16</t>
  </si>
  <si>
    <t>Hobie Getaway</t>
  </si>
  <si>
    <t>Hobie 15 Club</t>
  </si>
  <si>
    <t>Longueur</t>
  </si>
  <si>
    <t>GV + Foc</t>
  </si>
  <si>
    <t>F18</t>
  </si>
  <si>
    <t>SL15,5</t>
  </si>
  <si>
    <t>SL16</t>
  </si>
  <si>
    <t>Nacra 580</t>
  </si>
  <si>
    <t>en m</t>
  </si>
  <si>
    <t>en m2</t>
  </si>
  <si>
    <t>Surface GV</t>
  </si>
  <si>
    <t>Surface foc</t>
  </si>
  <si>
    <t>en kG</t>
  </si>
  <si>
    <t>Mattia Smile</t>
  </si>
  <si>
    <t>Nacra 500</t>
  </si>
  <si>
    <t>Topcat k1</t>
  </si>
  <si>
    <t>Topcat k2</t>
  </si>
  <si>
    <r>
      <t xml:space="preserve">Surface de voile </t>
    </r>
    <r>
      <rPr>
        <sz val="10"/>
        <rFont val="Arial"/>
        <family val="2"/>
      </rPr>
      <t>(GV+Foc)</t>
    </r>
  </si>
  <si>
    <r>
      <t xml:space="preserve">Puissance A : </t>
    </r>
    <r>
      <rPr>
        <i/>
        <sz val="10"/>
        <rFont val="Arial"/>
        <family val="2"/>
      </rPr>
      <t>SdeV / largeur</t>
    </r>
  </si>
  <si>
    <t>Cata 1</t>
  </si>
  <si>
    <t>Cata 2</t>
  </si>
  <si>
    <t>Ces chiffres peuvent être changés</t>
  </si>
  <si>
    <t>Angle de gite pour le calcul (/horizontal)</t>
  </si>
  <si>
    <t>degrés</t>
  </si>
  <si>
    <t>kg</t>
  </si>
  <si>
    <t>m</t>
  </si>
  <si>
    <t>Distance équipage / coque au vent - Equipage au trapèze</t>
  </si>
  <si>
    <t>Distance équipage / coque au vent - Equipage assis sur les ailes</t>
  </si>
  <si>
    <t>Distance équipage / coque au vent - Equipage assis sur la coque au vent</t>
  </si>
  <si>
    <t>Poids total de l'équipage</t>
  </si>
  <si>
    <t>c</t>
  </si>
  <si>
    <t>Force de rappel bateau</t>
  </si>
  <si>
    <t>Force de rappel équipage - Assis coque au vent</t>
  </si>
  <si>
    <t>Force de rappel équipage - Au trapèze</t>
  </si>
  <si>
    <t>Force de rappel équipage - Assis sur les ailes</t>
  </si>
  <si>
    <t>Puissance A : SdeV / largeur</t>
  </si>
  <si>
    <t>Puissance A : SdeV / largeur en base 100</t>
  </si>
  <si>
    <t>Cas 1</t>
  </si>
  <si>
    <t>Cas 2</t>
  </si>
  <si>
    <t>Cas 3</t>
  </si>
  <si>
    <t>Force de rappel TOTAL - Assis coque au vent</t>
  </si>
  <si>
    <t>Force de rappel  TOTAL - Au trapèze</t>
  </si>
  <si>
    <t>Force de rappel  TOTAL - Assis sur les ailes</t>
  </si>
  <si>
    <t>Puissance B  : SdeV / couple de rappel en base 100</t>
  </si>
  <si>
    <r>
      <t xml:space="preserve">Puissance B  : </t>
    </r>
    <r>
      <rPr>
        <sz val="10"/>
        <rFont val="Arial"/>
        <family val="2"/>
      </rPr>
      <t xml:space="preserve">100 X </t>
    </r>
    <r>
      <rPr>
        <i/>
        <sz val="10"/>
        <rFont val="Arial"/>
        <family val="2"/>
      </rPr>
      <t>SdeV / couple de rappel</t>
    </r>
  </si>
  <si>
    <r>
      <t xml:space="preserve">Puissance A : </t>
    </r>
    <r>
      <rPr>
        <i/>
        <sz val="10"/>
        <color indexed="12"/>
        <rFont val="Arial"/>
        <family val="2"/>
      </rPr>
      <t>SdeV / largeur en base 100</t>
    </r>
  </si>
  <si>
    <r>
      <t xml:space="preserve">Puissance B  : </t>
    </r>
    <r>
      <rPr>
        <i/>
        <sz val="10"/>
        <color indexed="12"/>
        <rFont val="Arial"/>
        <family val="2"/>
      </rPr>
      <t>SdeV / couple de rappel* en base 100</t>
    </r>
  </si>
  <si>
    <t>Puissance B : Poids pour avoir le même ratio que le cata de référence</t>
  </si>
  <si>
    <r>
      <t xml:space="preserve">Poids conseillé </t>
    </r>
    <r>
      <rPr>
        <i/>
        <sz val="10"/>
        <rFont val="Arial"/>
        <family val="2"/>
      </rPr>
      <t>pour avoir le même ratio qu'avec le cata de référence</t>
    </r>
  </si>
  <si>
    <t>Puissance B  : SdeV / couple de rappel - Assis coque au vent</t>
  </si>
  <si>
    <t>Puissance B  : SdeV / couple de rappel - Au trapèze</t>
  </si>
  <si>
    <t>Puissance B  : SdeV / couple de rappel - Assis sur les ailes</t>
  </si>
  <si>
    <t>Saisir ici valeur de "Puissance A" (colonne J) pour bateau de référence &gt;</t>
  </si>
  <si>
    <t>Saisir ici valeur de "Puissance B - Cas2" (colonne M) pour bateau de référence &gt;</t>
  </si>
  <si>
    <t>Masse cible</t>
  </si>
  <si>
    <t>Force rappel</t>
  </si>
  <si>
    <t>cible Equipage</t>
  </si>
  <si>
    <t>Poids cible</t>
  </si>
  <si>
    <t>Saisir les valeurs de votre catamaran à la place de Cata 1, … (texte en rouge)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</si>
</sst>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000000"/>
    <numFmt numFmtId="174" formatCode="0.0000000000"/>
    <numFmt numFmtId="175" formatCode="0.0%"/>
  </numFmts>
  <fonts count="2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" fontId="1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2" fontId="10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textRotation="45" wrapText="1"/>
    </xf>
    <xf numFmtId="0" fontId="3" fillId="0" borderId="0" xfId="0" applyFont="1" applyAlignment="1">
      <alignment horizontal="left" textRotation="45" wrapText="1"/>
    </xf>
    <xf numFmtId="0" fontId="19" fillId="0" borderId="1" xfId="0" applyFont="1" applyBorder="1" applyAlignment="1">
      <alignment horizontal="left" textRotation="45" wrapText="1"/>
    </xf>
    <xf numFmtId="1" fontId="19" fillId="0" borderId="1" xfId="0" applyNumberFormat="1" applyFont="1" applyBorder="1" applyAlignment="1">
      <alignment horizontal="center"/>
    </xf>
    <xf numFmtId="167" fontId="1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textRotation="45" wrapText="1"/>
    </xf>
    <xf numFmtId="0" fontId="3" fillId="0" borderId="1" xfId="0" applyFont="1" applyBorder="1" applyAlignment="1">
      <alignment horizontal="left" textRotation="45" wrapText="1"/>
    </xf>
    <xf numFmtId="167" fontId="3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3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1" fontId="23" fillId="0" borderId="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3">
      <selection activeCell="J17" sqref="J17"/>
    </sheetView>
  </sheetViews>
  <sheetFormatPr defaultColWidth="11.421875" defaultRowHeight="12.75"/>
  <cols>
    <col min="1" max="1" width="20.7109375" style="11" customWidth="1"/>
    <col min="2" max="4" width="15.7109375" style="6" customWidth="1"/>
    <col min="5" max="5" width="4.7109375" style="6" customWidth="1"/>
    <col min="6" max="8" width="15.7109375" style="16" customWidth="1"/>
    <col min="9" max="16384" width="11.421875" style="6" customWidth="1"/>
  </cols>
  <sheetData>
    <row r="1" s="7" customFormat="1" ht="15.75">
      <c r="A1" s="90" t="s">
        <v>64</v>
      </c>
    </row>
    <row r="3" spans="1:8" s="18" customFormat="1" ht="40.5">
      <c r="A3" s="17"/>
      <c r="B3" s="17" t="s">
        <v>8</v>
      </c>
      <c r="C3" s="17" t="s">
        <v>3</v>
      </c>
      <c r="D3" s="17" t="s">
        <v>4</v>
      </c>
      <c r="F3" s="19" t="s">
        <v>16</v>
      </c>
      <c r="G3" s="19" t="s">
        <v>17</v>
      </c>
      <c r="H3" s="19" t="s">
        <v>9</v>
      </c>
    </row>
    <row r="4" spans="1:8" s="21" customFormat="1" ht="18">
      <c r="A4" s="8"/>
      <c r="B4" s="20" t="s">
        <v>14</v>
      </c>
      <c r="C4" s="20" t="s">
        <v>14</v>
      </c>
      <c r="D4" s="20" t="s">
        <v>18</v>
      </c>
      <c r="F4" s="20" t="s">
        <v>15</v>
      </c>
      <c r="G4" s="20" t="s">
        <v>15</v>
      </c>
      <c r="H4" s="20" t="s">
        <v>15</v>
      </c>
    </row>
    <row r="5" spans="1:8" ht="20.25">
      <c r="A5" s="8"/>
      <c r="B5" s="2"/>
      <c r="C5" s="2"/>
      <c r="D5" s="2"/>
      <c r="F5" s="15"/>
      <c r="G5" s="15"/>
      <c r="H5" s="15"/>
    </row>
    <row r="6" spans="1:8" s="21" customFormat="1" ht="18.75">
      <c r="A6" s="9" t="s">
        <v>0</v>
      </c>
      <c r="B6" s="22">
        <v>5.48</v>
      </c>
      <c r="C6" s="22">
        <v>2.28</v>
      </c>
      <c r="D6" s="23">
        <v>130</v>
      </c>
      <c r="E6" s="11"/>
      <c r="F6" s="22">
        <v>12.92</v>
      </c>
      <c r="G6" s="22">
        <v>3.16</v>
      </c>
      <c r="H6" s="30">
        <f>SUM(F6:G6)</f>
        <v>16.08</v>
      </c>
    </row>
    <row r="7" spans="1:8" s="21" customFormat="1" ht="18.75">
      <c r="A7" s="9" t="s">
        <v>10</v>
      </c>
      <c r="B7" s="24">
        <v>5.52</v>
      </c>
      <c r="C7" s="22">
        <v>2.6</v>
      </c>
      <c r="D7" s="23">
        <v>180</v>
      </c>
      <c r="E7" s="11"/>
      <c r="F7" s="24">
        <v>17</v>
      </c>
      <c r="G7" s="24">
        <v>4.15</v>
      </c>
      <c r="H7" s="30">
        <f>SUM(F7:G7)</f>
        <v>21.15</v>
      </c>
    </row>
    <row r="8" spans="1:8" s="21" customFormat="1" ht="18.75">
      <c r="A8" s="9" t="s">
        <v>7</v>
      </c>
      <c r="B8" s="24">
        <v>4.95</v>
      </c>
      <c r="C8" s="24">
        <v>2.26</v>
      </c>
      <c r="D8" s="26">
        <v>155</v>
      </c>
      <c r="E8" s="11"/>
      <c r="F8" s="24">
        <v>11.5</v>
      </c>
      <c r="G8" s="24">
        <v>3.5</v>
      </c>
      <c r="H8" s="30">
        <f>SUM(F8:G8)</f>
        <v>15</v>
      </c>
    </row>
    <row r="9" spans="1:8" s="21" customFormat="1" ht="18.75">
      <c r="A9" s="9" t="s">
        <v>5</v>
      </c>
      <c r="B9" s="24">
        <v>5.05</v>
      </c>
      <c r="C9" s="24">
        <v>2.43</v>
      </c>
      <c r="D9" s="26">
        <v>145</v>
      </c>
      <c r="E9" s="11"/>
      <c r="F9" s="24">
        <v>13.77</v>
      </c>
      <c r="G9" s="24">
        <v>5.12</v>
      </c>
      <c r="H9" s="30">
        <f>SUM(F9:G9)</f>
        <v>18.89</v>
      </c>
    </row>
    <row r="10" spans="1:8" s="21" customFormat="1" ht="18.75">
      <c r="A10" s="9" t="s">
        <v>6</v>
      </c>
      <c r="B10" s="24">
        <v>5.07</v>
      </c>
      <c r="C10" s="24">
        <v>2.4</v>
      </c>
      <c r="D10" s="26">
        <v>155</v>
      </c>
      <c r="E10" s="11"/>
      <c r="F10" s="24"/>
      <c r="G10" s="24"/>
      <c r="H10" s="30">
        <v>16.75</v>
      </c>
    </row>
    <row r="11" spans="1:8" s="21" customFormat="1" ht="18.75">
      <c r="A11" s="9" t="s">
        <v>1</v>
      </c>
      <c r="B11" s="22">
        <v>5.48</v>
      </c>
      <c r="C11" s="22">
        <v>2.5</v>
      </c>
      <c r="D11" s="23">
        <v>165</v>
      </c>
      <c r="E11" s="11"/>
      <c r="F11" s="22">
        <v>15.5</v>
      </c>
      <c r="G11" s="22">
        <v>4.15</v>
      </c>
      <c r="H11" s="31">
        <f aca="true" t="shared" si="0" ref="H11:H21">SUM(F11:G11)</f>
        <v>19.65</v>
      </c>
    </row>
    <row r="12" spans="1:8" s="21" customFormat="1" ht="18.75">
      <c r="A12" s="9" t="s">
        <v>19</v>
      </c>
      <c r="B12" s="22">
        <v>5.51</v>
      </c>
      <c r="C12" s="22">
        <v>2.42</v>
      </c>
      <c r="D12" s="23">
        <v>155</v>
      </c>
      <c r="E12" s="11"/>
      <c r="F12" s="22">
        <f>13.94</f>
        <v>13.94</v>
      </c>
      <c r="G12" s="22">
        <v>3.65</v>
      </c>
      <c r="H12" s="30">
        <f t="shared" si="0"/>
        <v>17.59</v>
      </c>
    </row>
    <row r="13" spans="1:8" s="21" customFormat="1" ht="18.75">
      <c r="A13" s="9" t="s">
        <v>20</v>
      </c>
      <c r="B13" s="24">
        <v>5</v>
      </c>
      <c r="C13" s="24">
        <v>2.44</v>
      </c>
      <c r="D13" s="25">
        <v>150</v>
      </c>
      <c r="E13" s="11"/>
      <c r="F13" s="24">
        <v>14.15</v>
      </c>
      <c r="G13" s="24">
        <v>3.52</v>
      </c>
      <c r="H13" s="30">
        <f t="shared" si="0"/>
        <v>17.67</v>
      </c>
    </row>
    <row r="14" spans="1:8" s="21" customFormat="1" ht="18.75">
      <c r="A14" s="9" t="s">
        <v>2</v>
      </c>
      <c r="B14" s="24">
        <v>5.65</v>
      </c>
      <c r="C14" s="24">
        <v>2.44</v>
      </c>
      <c r="D14" s="26">
        <v>163</v>
      </c>
      <c r="E14" s="11"/>
      <c r="F14" s="24">
        <v>16.55</v>
      </c>
      <c r="G14" s="24">
        <v>4.55</v>
      </c>
      <c r="H14" s="30">
        <f t="shared" si="0"/>
        <v>21.1</v>
      </c>
    </row>
    <row r="15" spans="1:8" s="21" customFormat="1" ht="18.75">
      <c r="A15" s="9" t="s">
        <v>13</v>
      </c>
      <c r="B15" s="24">
        <v>5.8</v>
      </c>
      <c r="C15" s="24">
        <v>2.44</v>
      </c>
      <c r="D15" s="23">
        <v>188</v>
      </c>
      <c r="E15" s="11"/>
      <c r="F15" s="24">
        <v>17.57</v>
      </c>
      <c r="G15" s="24">
        <v>4.55</v>
      </c>
      <c r="H15" s="30">
        <f t="shared" si="0"/>
        <v>22.12</v>
      </c>
    </row>
    <row r="16" spans="1:8" s="21" customFormat="1" ht="18.75">
      <c r="A16" s="9" t="s">
        <v>11</v>
      </c>
      <c r="B16" s="24">
        <v>4.8</v>
      </c>
      <c r="C16" s="24">
        <v>2.35</v>
      </c>
      <c r="D16" s="26">
        <v>152</v>
      </c>
      <c r="E16" s="11"/>
      <c r="F16" s="24">
        <v>11</v>
      </c>
      <c r="G16" s="24">
        <v>2</v>
      </c>
      <c r="H16" s="30">
        <f t="shared" si="0"/>
        <v>13</v>
      </c>
    </row>
    <row r="17" spans="1:8" s="21" customFormat="1" ht="18.75">
      <c r="A17" s="9" t="s">
        <v>12</v>
      </c>
      <c r="B17" s="24">
        <v>4.8</v>
      </c>
      <c r="C17" s="24">
        <v>2.32</v>
      </c>
      <c r="D17" s="23">
        <v>152</v>
      </c>
      <c r="E17" s="11"/>
      <c r="F17" s="24">
        <v>13.75</v>
      </c>
      <c r="G17" s="24">
        <v>3.75</v>
      </c>
      <c r="H17" s="30">
        <f t="shared" si="0"/>
        <v>17.5</v>
      </c>
    </row>
    <row r="18" spans="1:8" s="21" customFormat="1" ht="18.75">
      <c r="A18" s="9" t="s">
        <v>21</v>
      </c>
      <c r="B18" s="24">
        <v>5.5</v>
      </c>
      <c r="C18" s="24">
        <v>2.5</v>
      </c>
      <c r="D18" s="26">
        <v>165</v>
      </c>
      <c r="E18" s="11"/>
      <c r="F18" s="24">
        <v>14.2</v>
      </c>
      <c r="G18" s="24">
        <v>4.7</v>
      </c>
      <c r="H18" s="30">
        <f t="shared" si="0"/>
        <v>18.9</v>
      </c>
    </row>
    <row r="19" spans="1:8" s="21" customFormat="1" ht="18.75">
      <c r="A19" s="9" t="s">
        <v>22</v>
      </c>
      <c r="B19" s="24">
        <v>5.17</v>
      </c>
      <c r="C19" s="24">
        <v>2.44</v>
      </c>
      <c r="D19" s="25">
        <v>150</v>
      </c>
      <c r="E19" s="11"/>
      <c r="F19" s="24">
        <v>13.5</v>
      </c>
      <c r="G19" s="24">
        <v>4.2</v>
      </c>
      <c r="H19" s="30">
        <f t="shared" si="0"/>
        <v>17.7</v>
      </c>
    </row>
    <row r="20" spans="1:8" s="28" customFormat="1" ht="18.75">
      <c r="A20" s="10" t="s">
        <v>25</v>
      </c>
      <c r="B20" s="29">
        <v>5</v>
      </c>
      <c r="C20" s="29">
        <v>2</v>
      </c>
      <c r="D20" s="27">
        <v>100</v>
      </c>
      <c r="E20" s="10"/>
      <c r="F20" s="29">
        <v>10</v>
      </c>
      <c r="G20" s="29">
        <v>3</v>
      </c>
      <c r="H20" s="30">
        <f t="shared" si="0"/>
        <v>13</v>
      </c>
    </row>
    <row r="21" spans="1:8" s="28" customFormat="1" ht="18.75">
      <c r="A21" s="10" t="s">
        <v>26</v>
      </c>
      <c r="B21" s="29">
        <v>5</v>
      </c>
      <c r="C21" s="29">
        <v>2</v>
      </c>
      <c r="D21" s="27">
        <v>100</v>
      </c>
      <c r="E21" s="10"/>
      <c r="F21" s="29">
        <v>10</v>
      </c>
      <c r="G21" s="29">
        <v>3</v>
      </c>
      <c r="H21" s="30">
        <f t="shared" si="0"/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6"/>
  <sheetViews>
    <sheetView workbookViewId="0" topLeftCell="A1">
      <pane xSplit="1" topLeftCell="E1" activePane="topRight" state="frozen"/>
      <selection pane="topLeft" activeCell="A1" sqref="A1"/>
      <selection pane="topRight" activeCell="P15" sqref="P15"/>
    </sheetView>
  </sheetViews>
  <sheetFormatPr defaultColWidth="11.421875" defaultRowHeight="12.75"/>
  <cols>
    <col min="1" max="1" width="18.140625" style="0" customWidth="1"/>
    <col min="2" max="5" width="10.7109375" style="1" customWidth="1"/>
    <col min="6" max="8" width="10.7109375" style="0" customWidth="1"/>
    <col min="9" max="9" width="5.7109375" style="0" customWidth="1"/>
    <col min="10" max="10" width="10.7109375" style="0" customWidth="1"/>
    <col min="11" max="11" width="5.7109375" style="0" customWidth="1"/>
    <col min="12" max="14" width="10.7109375" style="0" customWidth="1"/>
    <col min="15" max="15" width="5.7109375" style="0" customWidth="1"/>
    <col min="16" max="17" width="10.7109375" style="0" customWidth="1"/>
    <col min="18" max="18" width="5.7109375" style="0" customWidth="1"/>
    <col min="19" max="19" width="14.7109375" style="12" customWidth="1"/>
    <col min="21" max="21" width="10.7109375" style="0" hidden="1" customWidth="1"/>
    <col min="22" max="22" width="8.7109375" style="0" hidden="1" customWidth="1"/>
    <col min="23" max="23" width="10.7109375" style="0" hidden="1" customWidth="1"/>
    <col min="24" max="24" width="0" style="0" hidden="1" customWidth="1"/>
  </cols>
  <sheetData>
    <row r="2" spans="2:12" ht="12.75">
      <c r="B2" s="77" t="s">
        <v>27</v>
      </c>
      <c r="C2" s="78"/>
      <c r="D2" s="78"/>
      <c r="E2" s="78"/>
      <c r="F2" s="79"/>
      <c r="G2" s="79"/>
      <c r="H2" s="79"/>
      <c r="I2" s="79"/>
      <c r="J2" s="79"/>
      <c r="K2" s="79"/>
      <c r="L2" s="80"/>
    </row>
    <row r="3" spans="2:12" ht="12.75">
      <c r="B3" s="81"/>
      <c r="C3" s="3"/>
      <c r="D3" s="3"/>
      <c r="E3" s="3"/>
      <c r="F3" s="4"/>
      <c r="G3" s="4"/>
      <c r="H3" s="61"/>
      <c r="I3" s="4"/>
      <c r="J3" s="4"/>
      <c r="K3" s="4"/>
      <c r="L3" s="82"/>
    </row>
    <row r="4" spans="2:19" s="6" customFormat="1" ht="15.75">
      <c r="B4" s="83" t="s">
        <v>35</v>
      </c>
      <c r="C4" s="59"/>
      <c r="D4" s="59"/>
      <c r="E4" s="59"/>
      <c r="F4" s="60"/>
      <c r="G4" s="60"/>
      <c r="H4" s="60"/>
      <c r="I4" s="60"/>
      <c r="J4" s="37">
        <v>140</v>
      </c>
      <c r="K4" s="67" t="s">
        <v>30</v>
      </c>
      <c r="L4" s="84"/>
      <c r="S4" s="47"/>
    </row>
    <row r="5" spans="2:19" s="6" customFormat="1" ht="15.75">
      <c r="B5" s="83" t="s">
        <v>28</v>
      </c>
      <c r="C5" s="59"/>
      <c r="D5" s="59"/>
      <c r="E5" s="59"/>
      <c r="F5" s="60"/>
      <c r="G5" s="60"/>
      <c r="H5" s="60"/>
      <c r="I5" s="60"/>
      <c r="J5" s="37">
        <v>10</v>
      </c>
      <c r="K5" s="67" t="s">
        <v>29</v>
      </c>
      <c r="L5" s="84"/>
      <c r="N5" s="58"/>
      <c r="S5" s="47"/>
    </row>
    <row r="6" spans="2:19" s="6" customFormat="1" ht="15.75">
      <c r="B6" s="83" t="s">
        <v>34</v>
      </c>
      <c r="C6" s="59"/>
      <c r="D6" s="59"/>
      <c r="E6" s="59"/>
      <c r="F6" s="60"/>
      <c r="G6" s="60"/>
      <c r="H6" s="60"/>
      <c r="I6" s="60"/>
      <c r="J6" s="37">
        <v>0</v>
      </c>
      <c r="K6" s="67" t="s">
        <v>31</v>
      </c>
      <c r="L6" s="84"/>
      <c r="N6" s="58"/>
      <c r="S6" s="47"/>
    </row>
    <row r="7" spans="2:19" s="6" customFormat="1" ht="15.75">
      <c r="B7" s="83" t="s">
        <v>32</v>
      </c>
      <c r="C7" s="59"/>
      <c r="D7" s="59"/>
      <c r="E7" s="59"/>
      <c r="F7" s="60"/>
      <c r="G7" s="60"/>
      <c r="H7" s="60"/>
      <c r="I7" s="60"/>
      <c r="J7" s="37">
        <v>0.8</v>
      </c>
      <c r="K7" s="67" t="s">
        <v>31</v>
      </c>
      <c r="L7" s="84"/>
      <c r="S7" s="47"/>
    </row>
    <row r="8" spans="2:19" s="6" customFormat="1" ht="15.75">
      <c r="B8" s="83" t="s">
        <v>33</v>
      </c>
      <c r="C8" s="59"/>
      <c r="D8" s="59"/>
      <c r="E8" s="59"/>
      <c r="F8" s="60"/>
      <c r="G8" s="60"/>
      <c r="H8" s="60"/>
      <c r="I8" s="60"/>
      <c r="J8" s="37">
        <v>0.7</v>
      </c>
      <c r="K8" s="67" t="s">
        <v>31</v>
      </c>
      <c r="L8" s="84"/>
      <c r="S8" s="47"/>
    </row>
    <row r="9" spans="1:12" ht="12.75">
      <c r="A9" s="4"/>
      <c r="B9" s="85"/>
      <c r="C9" s="86"/>
      <c r="D9" s="86"/>
      <c r="E9" s="86"/>
      <c r="F9" s="87"/>
      <c r="G9" s="87"/>
      <c r="H9" s="87"/>
      <c r="I9" s="86"/>
      <c r="J9" s="88"/>
      <c r="K9" s="87"/>
      <c r="L9" s="89"/>
    </row>
    <row r="10" spans="2:5" ht="12.75">
      <c r="B10"/>
      <c r="D10" s="12"/>
      <c r="E10" s="12"/>
    </row>
    <row r="11" spans="2:19" s="39" customFormat="1" ht="135.75" customHeight="1">
      <c r="B11" s="43" t="s">
        <v>37</v>
      </c>
      <c r="C11" s="43" t="s">
        <v>38</v>
      </c>
      <c r="D11" s="43" t="s">
        <v>39</v>
      </c>
      <c r="E11" s="43" t="s">
        <v>40</v>
      </c>
      <c r="F11" s="43" t="s">
        <v>46</v>
      </c>
      <c r="G11" s="43" t="s">
        <v>47</v>
      </c>
      <c r="H11" s="43" t="s">
        <v>48</v>
      </c>
      <c r="I11" s="38"/>
      <c r="J11" s="40" t="s">
        <v>41</v>
      </c>
      <c r="L11" s="44" t="s">
        <v>55</v>
      </c>
      <c r="M11" s="44" t="s">
        <v>56</v>
      </c>
      <c r="N11" s="44" t="s">
        <v>57</v>
      </c>
      <c r="P11" s="40" t="s">
        <v>42</v>
      </c>
      <c r="Q11" s="44" t="s">
        <v>49</v>
      </c>
      <c r="S11" s="44" t="s">
        <v>53</v>
      </c>
    </row>
    <row r="12" spans="2:19" s="65" customFormat="1" ht="15.75">
      <c r="B12" s="62"/>
      <c r="C12" s="62" t="s">
        <v>43</v>
      </c>
      <c r="D12" s="62" t="s">
        <v>44</v>
      </c>
      <c r="E12" s="62" t="s">
        <v>45</v>
      </c>
      <c r="F12" s="62" t="s">
        <v>43</v>
      </c>
      <c r="G12" s="62" t="s">
        <v>44</v>
      </c>
      <c r="H12" s="62" t="s">
        <v>45</v>
      </c>
      <c r="I12" s="64"/>
      <c r="J12" s="64"/>
      <c r="K12" s="64"/>
      <c r="L12" s="62" t="s">
        <v>43</v>
      </c>
      <c r="M12" s="62" t="s">
        <v>44</v>
      </c>
      <c r="N12" s="62" t="s">
        <v>45</v>
      </c>
      <c r="P12" s="62"/>
      <c r="Q12" s="62" t="s">
        <v>44</v>
      </c>
      <c r="S12" s="62" t="s">
        <v>44</v>
      </c>
    </row>
    <row r="13" spans="2:23" s="7" customFormat="1" ht="15.75">
      <c r="B13" s="32"/>
      <c r="C13" s="37"/>
      <c r="D13" s="37"/>
      <c r="E13" s="37"/>
      <c r="F13" s="37"/>
      <c r="G13" s="37"/>
      <c r="H13" s="37"/>
      <c r="I13" s="33"/>
      <c r="J13" s="33"/>
      <c r="K13" s="33"/>
      <c r="L13" s="33"/>
      <c r="M13" s="33"/>
      <c r="N13" s="37"/>
      <c r="P13" s="37"/>
      <c r="Q13" s="37"/>
      <c r="S13" s="37"/>
      <c r="U13" s="71"/>
      <c r="V13" s="71"/>
      <c r="W13" s="71"/>
    </row>
    <row r="14" spans="2:23" s="7" customFormat="1" ht="15.75">
      <c r="B14" s="32"/>
      <c r="C14" s="37"/>
      <c r="D14" s="37"/>
      <c r="E14" s="37"/>
      <c r="F14" s="37"/>
      <c r="G14" s="37"/>
      <c r="H14" s="37"/>
      <c r="I14" s="91"/>
      <c r="J14" s="33"/>
      <c r="K14" s="33"/>
      <c r="L14" s="33"/>
      <c r="M14" s="33"/>
      <c r="N14" s="37"/>
      <c r="O14" s="92" t="s">
        <v>58</v>
      </c>
      <c r="P14" s="46">
        <v>7.773662551440329</v>
      </c>
      <c r="S14" s="37"/>
      <c r="U14" s="72" t="s">
        <v>61</v>
      </c>
      <c r="V14" s="72"/>
      <c r="W14" s="72"/>
    </row>
    <row r="15" spans="2:24" s="7" customFormat="1" ht="15.75">
      <c r="B15" s="32"/>
      <c r="C15" s="37"/>
      <c r="D15" s="37"/>
      <c r="E15" s="37"/>
      <c r="F15" s="37"/>
      <c r="G15" s="37"/>
      <c r="H15" s="37"/>
      <c r="I15" s="33"/>
      <c r="J15" s="33"/>
      <c r="K15" s="33"/>
      <c r="L15" s="33"/>
      <c r="M15" s="33"/>
      <c r="N15" s="37"/>
      <c r="O15" s="68"/>
      <c r="P15" s="92" t="s">
        <v>59</v>
      </c>
      <c r="Q15" s="46">
        <v>0.3111663268871514</v>
      </c>
      <c r="R15" s="69"/>
      <c r="S15" s="37"/>
      <c r="U15" s="72" t="s">
        <v>62</v>
      </c>
      <c r="V15" s="72"/>
      <c r="W15" s="72" t="s">
        <v>60</v>
      </c>
      <c r="X15" s="72" t="s">
        <v>63</v>
      </c>
    </row>
    <row r="16" spans="2:24" s="7" customFormat="1" ht="15.75">
      <c r="B16" s="62"/>
      <c r="C16" s="63"/>
      <c r="D16" s="64"/>
      <c r="E16" s="64"/>
      <c r="F16" s="33"/>
      <c r="G16" s="33"/>
      <c r="H16" s="33"/>
      <c r="I16" s="33"/>
      <c r="J16" s="33"/>
      <c r="K16" s="33"/>
      <c r="L16" s="33"/>
      <c r="M16" s="33"/>
      <c r="S16" s="48"/>
      <c r="U16" s="72"/>
      <c r="V16" s="74"/>
      <c r="W16" s="72"/>
      <c r="X16" s="72"/>
    </row>
    <row r="17" spans="1:24" s="7" customFormat="1" ht="15.75">
      <c r="A17" s="7" t="str">
        <f>+Catamaran!A6</f>
        <v>Dart 18</v>
      </c>
      <c r="B17" s="13">
        <f>+(+Catamaran!D6*9.81)*(Catamaran!C6/2)*(COS(RADIANS($J$5)))</f>
        <v>1431.7548732547743</v>
      </c>
      <c r="C17" s="13">
        <f>+(+$J$4*9.81)*(Catamaran!C6+$J$6)*(COS(RADIANS($J$5)))</f>
        <v>3083.7797270102833</v>
      </c>
      <c r="D17" s="13">
        <f>+(+$J$4*9.81)*(Catamaran!C6+$J$7)*(COS(RADIANS($J$5)))</f>
        <v>4165.807701399857</v>
      </c>
      <c r="E17" s="13">
        <f>+(+$J$4*9.81)*(Catamaran!C6+$J$8)*(COS(RADIANS($J$5)))</f>
        <v>4030.5542046011597</v>
      </c>
      <c r="F17" s="13">
        <f aca="true" t="shared" si="0" ref="F17:F32">+B17+C17</f>
        <v>4515.534600265058</v>
      </c>
      <c r="G17" s="13">
        <f aca="true" t="shared" si="1" ref="G17:G32">+B17+D17</f>
        <v>5597.562574654632</v>
      </c>
      <c r="H17" s="13">
        <f aca="true" t="shared" si="2" ref="H17:H32">+B17+E17</f>
        <v>5462.309077855934</v>
      </c>
      <c r="I17" s="33"/>
      <c r="J17" s="42">
        <f>+Catamaran!H6/Catamaran!C6</f>
        <v>7.052631578947368</v>
      </c>
      <c r="K17" s="33"/>
      <c r="L17" s="45">
        <f>+Catamaran!H6/F17*100</f>
        <v>0.35610401477282705</v>
      </c>
      <c r="M17" s="45">
        <f>+Catamaran!H6/G17*100</f>
        <v>0.28726789179292256</v>
      </c>
      <c r="N17" s="45">
        <f>+Catamaran!H6/H17*100</f>
        <v>0.2943809984167304</v>
      </c>
      <c r="P17" s="41">
        <f>+(J17/$P$14)*100</f>
        <v>90.72469421303391</v>
      </c>
      <c r="Q17" s="14">
        <f aca="true" t="shared" si="3" ref="Q17:Q32">+(M17/$Q$15)*100</f>
        <v>92.31972323827445</v>
      </c>
      <c r="S17" s="76">
        <f>+X17</f>
        <v>125.55210274109163</v>
      </c>
      <c r="U17" s="73">
        <f>+(Catamaran!H6/($Q$15/100))-B17</f>
        <v>3735.8994037556117</v>
      </c>
      <c r="V17" s="75">
        <f>+(COS(RADIANS($J$5)))</f>
        <v>0.984807753012208</v>
      </c>
      <c r="W17" s="73">
        <f>+(U17/V17)/(Catamaran!C6+Calcul!$J$7)</f>
        <v>1231.666127890109</v>
      </c>
      <c r="X17" s="73">
        <f>+W17/9.81</f>
        <v>125.55210274109163</v>
      </c>
    </row>
    <row r="18" spans="1:24" s="7" customFormat="1" ht="15.75">
      <c r="A18" s="7" t="str">
        <f>+Catamaran!A7</f>
        <v>F18</v>
      </c>
      <c r="B18" s="13">
        <f>+(+Catamaran!D7*9.81)*(Catamaran!C7/2)*(COS(RADIANS($J$5)))</f>
        <v>2260.6655893496445</v>
      </c>
      <c r="C18" s="13">
        <f>+(+$J$4*9.81)*(Catamaran!C7+$J$6)*(COS(RADIANS($J$5)))</f>
        <v>3516.590916766113</v>
      </c>
      <c r="D18" s="13">
        <f>+(+$J$4*9.81)*(Catamaran!C7+$J$7)*(COS(RADIANS($J$5)))</f>
        <v>4598.6188911556865</v>
      </c>
      <c r="E18" s="13">
        <f>+(+$J$4*9.81)*(Catamaran!C7+$J$8)*(COS(RADIANS($J$5)))</f>
        <v>4463.36539435699</v>
      </c>
      <c r="F18" s="13">
        <f t="shared" si="0"/>
        <v>5777.2565061157575</v>
      </c>
      <c r="G18" s="13">
        <f t="shared" si="1"/>
        <v>6859.284480505331</v>
      </c>
      <c r="H18" s="13">
        <f t="shared" si="2"/>
        <v>6724.030983706634</v>
      </c>
      <c r="I18" s="33"/>
      <c r="J18" s="42">
        <f>+Catamaran!H7/Catamaran!C7</f>
        <v>8.134615384615383</v>
      </c>
      <c r="K18" s="33"/>
      <c r="L18" s="45">
        <f>+Catamaran!H7/F18*100</f>
        <v>0.36609072104745183</v>
      </c>
      <c r="M18" s="45">
        <f>+Catamaran!H7/G18*100</f>
        <v>0.308341198854051</v>
      </c>
      <c r="N18" s="45">
        <f>+Catamaran!H7/H18*100</f>
        <v>0.31454346434824165</v>
      </c>
      <c r="P18" s="41">
        <f aca="true" t="shared" si="4" ref="P18:P32">+(J18/$P$14)*100</f>
        <v>104.64327890214602</v>
      </c>
      <c r="Q18" s="14">
        <f t="shared" si="3"/>
        <v>99.09208426844818</v>
      </c>
      <c r="S18" s="76">
        <f>+X18</f>
        <v>138.10405832528878</v>
      </c>
      <c r="U18" s="73">
        <f>+(Catamaran!H7/($Q$15/100))-B18</f>
        <v>4536.3423682852845</v>
      </c>
      <c r="V18" s="75">
        <f aca="true" t="shared" si="5" ref="V18:V32">+(COS(RADIANS($J$5)))</f>
        <v>0.984807753012208</v>
      </c>
      <c r="W18" s="73">
        <f>+(U18/V18)/(Catamaran!C7+Calcul!$J$7)</f>
        <v>1354.800812171083</v>
      </c>
      <c r="X18" s="73">
        <f>+W18/9.81</f>
        <v>138.10405832528878</v>
      </c>
    </row>
    <row r="19" spans="1:24" s="7" customFormat="1" ht="15.75">
      <c r="A19" s="7" t="str">
        <f>+Catamaran!A8</f>
        <v>Hobie 15 Club</v>
      </c>
      <c r="B19" s="13">
        <f>+(+Catamaran!D8*9.81)*(Catamaran!C8/2)*(COS(RADIANS($J$5)))</f>
        <v>1692.1178545922658</v>
      </c>
      <c r="C19" s="13">
        <f>+(+$J$4*9.81)*(Catamaran!C8+$J$6)*(COS(RADIANS($J$5)))</f>
        <v>3056.729027650544</v>
      </c>
      <c r="D19" s="13">
        <f>+(+$J$4*9.81)*(Catamaran!C8+$J$7)*(COS(RADIANS($J$5)))</f>
        <v>4138.757002040117</v>
      </c>
      <c r="E19" s="13">
        <f>+(+$J$4*9.81)*(Catamaran!C8+$J$8)*(COS(RADIANS($J$5)))</f>
        <v>4003.503505241421</v>
      </c>
      <c r="F19" s="13">
        <f t="shared" si="0"/>
        <v>4748.846882242809</v>
      </c>
      <c r="G19" s="13">
        <f t="shared" si="1"/>
        <v>5830.874856632383</v>
      </c>
      <c r="H19" s="13">
        <f t="shared" si="2"/>
        <v>5695.621359833687</v>
      </c>
      <c r="I19" s="33"/>
      <c r="J19" s="42">
        <f>+Catamaran!H8/Catamaran!C8</f>
        <v>6.637168141592921</v>
      </c>
      <c r="K19" s="33"/>
      <c r="L19" s="45">
        <f>+Catamaran!H8/F19*100</f>
        <v>0.31586615386756217</v>
      </c>
      <c r="M19" s="45">
        <f>+Catamaran!H8/G19*100</f>
        <v>0.25725127650335544</v>
      </c>
      <c r="N19" s="45">
        <f>+Catamaran!H8/H19*100</f>
        <v>0.2633602034324487</v>
      </c>
      <c r="P19" s="41">
        <f t="shared" si="4"/>
        <v>85.38019366898253</v>
      </c>
      <c r="Q19" s="14">
        <f t="shared" si="3"/>
        <v>82.6732375179693</v>
      </c>
      <c r="S19" s="76">
        <f>+X19</f>
        <v>105.82494282343256</v>
      </c>
      <c r="T19" s="36"/>
      <c r="U19" s="73">
        <f>+(Catamaran!H8/($Q$15/100))-B19</f>
        <v>3128.455165006975</v>
      </c>
      <c r="V19" s="75">
        <f t="shared" si="5"/>
        <v>0.984807753012208</v>
      </c>
      <c r="W19" s="73">
        <f>+(U19/V19)/(Catamaran!C8+Calcul!$J$7)</f>
        <v>1038.1426890978735</v>
      </c>
      <c r="X19" s="73">
        <f>+W19/9.81</f>
        <v>105.82494282343256</v>
      </c>
    </row>
    <row r="20" spans="1:24" s="7" customFormat="1" ht="15.75">
      <c r="A20" s="7" t="str">
        <f>+Catamaran!A9</f>
        <v>Hobie 16</v>
      </c>
      <c r="B20" s="13">
        <f>+(+Catamaran!D9*9.81)*(Catamaran!C9/2)*(COS(RADIANS($J$5)))</f>
        <v>1702.0203427507417</v>
      </c>
      <c r="C20" s="13">
        <f>+(+$J$4*9.81)*(Catamaran!C9+$J$6)*(COS(RADIANS($J$5)))</f>
        <v>3286.6599722083292</v>
      </c>
      <c r="D20" s="13">
        <f>+(+$J$4*9.81)*(Catamaran!C9+$J$7)*(COS(RADIANS($J$5)))</f>
        <v>4368.687946597903</v>
      </c>
      <c r="E20" s="13">
        <f>+(+$J$4*9.81)*(Catamaran!C9+$J$8)*(COS(RADIANS($J$5)))</f>
        <v>4233.434449799205</v>
      </c>
      <c r="F20" s="13">
        <f t="shared" si="0"/>
        <v>4988.6803149590705</v>
      </c>
      <c r="G20" s="13">
        <f t="shared" si="1"/>
        <v>6070.708289348644</v>
      </c>
      <c r="H20" s="13">
        <f t="shared" si="2"/>
        <v>5935.454792549946</v>
      </c>
      <c r="I20" s="33"/>
      <c r="J20" s="42">
        <f>+Catamaran!H9/Catamaran!C9</f>
        <v>7.773662551440329</v>
      </c>
      <c r="K20" s="33"/>
      <c r="L20" s="45">
        <f>+Catamaran!H9/F20*100</f>
        <v>0.37865725617567425</v>
      </c>
      <c r="M20" s="45">
        <f>+Catamaran!H9/G20*100</f>
        <v>0.3111663268871514</v>
      </c>
      <c r="N20" s="45">
        <f>+Catamaran!H9/H20*100</f>
        <v>0.3182569939494833</v>
      </c>
      <c r="P20" s="41">
        <f t="shared" si="4"/>
        <v>100</v>
      </c>
      <c r="Q20" s="14">
        <f t="shared" si="3"/>
        <v>100</v>
      </c>
      <c r="S20" s="76">
        <f>+X20</f>
        <v>139.99999999999997</v>
      </c>
      <c r="T20" s="70"/>
      <c r="U20" s="73">
        <f>+(Catamaran!H9/($Q$15/100))-B20</f>
        <v>4368.687946597902</v>
      </c>
      <c r="V20" s="75">
        <f t="shared" si="5"/>
        <v>0.984807753012208</v>
      </c>
      <c r="W20" s="73">
        <f>+(U20/V20)/(Catamaran!C9+Calcul!$J$7)</f>
        <v>1373.3999999999999</v>
      </c>
      <c r="X20" s="73">
        <f>+W20/9.81</f>
        <v>139.99999999999997</v>
      </c>
    </row>
    <row r="21" spans="1:24" s="7" customFormat="1" ht="15.75">
      <c r="A21" s="7" t="str">
        <f>+Catamaran!A10</f>
        <v>Hobie Getaway</v>
      </c>
      <c r="B21" s="13">
        <f>+(+Catamaran!D10*9.81)*(Catamaran!C10/2)*(COS(RADIANS($J$5)))</f>
        <v>1796.9393146112557</v>
      </c>
      <c r="C21" s="13">
        <f>+(+$J$4*9.81)*(Catamaran!C10+$J$6)*(COS(RADIANS($J$5)))</f>
        <v>3246.08392316872</v>
      </c>
      <c r="D21" s="13">
        <f>+(+$J$4*9.81)*(Catamaran!C10+$J$7)*(COS(RADIANS($J$5)))</f>
        <v>4328.111897558293</v>
      </c>
      <c r="E21" s="13">
        <f>+(+$J$4*9.81)*(Catamaran!C10+$J$8)*(COS(RADIANS($J$5)))</f>
        <v>4192.858400759596</v>
      </c>
      <c r="F21" s="13">
        <f t="shared" si="0"/>
        <v>5043.023237779976</v>
      </c>
      <c r="G21" s="13">
        <f t="shared" si="1"/>
        <v>6125.051212169548</v>
      </c>
      <c r="H21" s="13">
        <f t="shared" si="2"/>
        <v>5989.7977153708525</v>
      </c>
      <c r="I21" s="33"/>
      <c r="J21" s="42">
        <f>+Catamaran!H10/Catamaran!C10</f>
        <v>6.979166666666667</v>
      </c>
      <c r="K21" s="33"/>
      <c r="L21" s="45">
        <f>+Catamaran!H10/F21*100</f>
        <v>0.3321420348515712</v>
      </c>
      <c r="M21" s="45">
        <f>+Catamaran!H10/G21*100</f>
        <v>0.2734671012500318</v>
      </c>
      <c r="N21" s="45">
        <f>+Catamaran!H10/H21*100</f>
        <v>0.2796421648266454</v>
      </c>
      <c r="P21" s="41">
        <f t="shared" si="4"/>
        <v>89.77964531498148</v>
      </c>
      <c r="Q21" s="14">
        <f t="shared" si="3"/>
        <v>87.88454200226116</v>
      </c>
      <c r="S21" s="76">
        <f aca="true" t="shared" si="6" ref="S21:S32">+X21</f>
        <v>115.99624884197988</v>
      </c>
      <c r="T21" s="70"/>
      <c r="U21" s="73">
        <f>+(Catamaran!H10/($Q$15/100))-B21</f>
        <v>3586.0338906078964</v>
      </c>
      <c r="V21" s="75">
        <f t="shared" si="5"/>
        <v>0.984807753012208</v>
      </c>
      <c r="W21" s="73">
        <f>+(U21/V21)/(Catamaran!C10+Calcul!$J$7)</f>
        <v>1137.9232011398226</v>
      </c>
      <c r="X21" s="73">
        <f aca="true" t="shared" si="7" ref="X21:X32">+W21/9.81</f>
        <v>115.99624884197988</v>
      </c>
    </row>
    <row r="22" spans="1:24" s="7" customFormat="1" ht="15.75">
      <c r="A22" s="7" t="str">
        <f>+Catamaran!A11</f>
        <v>Hobie Pacific</v>
      </c>
      <c r="B22" s="13">
        <f>+(+Catamaran!D11*9.81)*(Catamaran!C11/2)*(COS(RADIANS($J$5)))</f>
        <v>1992.573836766513</v>
      </c>
      <c r="C22" s="13">
        <f>+(+$J$4*9.81)*(Catamaran!C11+$J$6)*(COS(RADIANS($J$5)))</f>
        <v>3381.3374199674163</v>
      </c>
      <c r="D22" s="13">
        <f>+(+$J$4*9.81)*(Catamaran!C11+$J$7)*(COS(RADIANS($J$5)))</f>
        <v>4463.36539435699</v>
      </c>
      <c r="E22" s="13">
        <f>+(+$J$4*9.81)*(Catamaran!C11+$J$8)*(COS(RADIANS($J$5)))</f>
        <v>4328.111897558293</v>
      </c>
      <c r="F22" s="13">
        <f t="shared" si="0"/>
        <v>5373.911256733929</v>
      </c>
      <c r="G22" s="13">
        <f t="shared" si="1"/>
        <v>6455.939231123502</v>
      </c>
      <c r="H22" s="13">
        <f t="shared" si="2"/>
        <v>6320.685734324807</v>
      </c>
      <c r="I22" s="33"/>
      <c r="J22" s="42">
        <f>+Catamaran!H11/Catamaran!C11</f>
        <v>7.859999999999999</v>
      </c>
      <c r="K22" s="33"/>
      <c r="L22" s="45">
        <f>+Catamaran!H11/F22*100</f>
        <v>0.36565546138070326</v>
      </c>
      <c r="M22" s="45">
        <f>+Catamaran!H11/G22*100</f>
        <v>0.3043708947145772</v>
      </c>
      <c r="N22" s="45">
        <f>+Catamaran!H11/H22*100</f>
        <v>0.31088398990143856</v>
      </c>
      <c r="P22" s="41">
        <f t="shared" si="4"/>
        <v>101.11064055055586</v>
      </c>
      <c r="Q22" s="14">
        <f t="shared" si="3"/>
        <v>97.81614153415813</v>
      </c>
      <c r="S22" s="76">
        <f t="shared" si="6"/>
        <v>135.57768660667017</v>
      </c>
      <c r="T22" s="70"/>
      <c r="U22" s="73">
        <f>+(Catamaran!H11/($Q$15/100))-B22</f>
        <v>4322.376818908491</v>
      </c>
      <c r="V22" s="75">
        <f t="shared" si="5"/>
        <v>0.984807753012208</v>
      </c>
      <c r="W22" s="73">
        <f>+(U22/V22)/(Catamaran!C11+Calcul!$J$7)</f>
        <v>1330.0171056114345</v>
      </c>
      <c r="X22" s="73">
        <f t="shared" si="7"/>
        <v>135.57768660667017</v>
      </c>
    </row>
    <row r="23" spans="1:24" s="7" customFormat="1" ht="15.75">
      <c r="A23" s="7" t="str">
        <f>+Catamaran!A12</f>
        <v>Mattia Smile</v>
      </c>
      <c r="B23" s="13">
        <f>+(+Catamaran!D12*9.81)*(Catamaran!C12/2)*(COS(RADIANS($J$5)))</f>
        <v>1811.9138088996826</v>
      </c>
      <c r="C23" s="13">
        <f>+(+$J$4*9.81)*(Catamaran!C12+$J$6)*(COS(RADIANS($J$5)))</f>
        <v>3273.134622528459</v>
      </c>
      <c r="D23" s="13">
        <f>+(+$J$4*9.81)*(Catamaran!C12+$J$7)*(COS(RADIANS($J$5)))</f>
        <v>4355.162596918032</v>
      </c>
      <c r="E23" s="13">
        <f>+(+$J$4*9.81)*(Catamaran!C12+$J$8)*(COS(RADIANS($J$5)))</f>
        <v>4219.9091001193365</v>
      </c>
      <c r="F23" s="13">
        <f t="shared" si="0"/>
        <v>5085.048431428142</v>
      </c>
      <c r="G23" s="13">
        <f t="shared" si="1"/>
        <v>6167.076405817715</v>
      </c>
      <c r="H23" s="13">
        <f t="shared" si="2"/>
        <v>6031.822909019019</v>
      </c>
      <c r="I23" s="33"/>
      <c r="J23" s="42">
        <f>+Catamaran!H12/Catamaran!C12</f>
        <v>7.268595041322314</v>
      </c>
      <c r="K23" s="33"/>
      <c r="L23" s="45">
        <f>+Catamaran!H12/F23*100</f>
        <v>0.3459160760649791</v>
      </c>
      <c r="M23" s="45">
        <f>+Catamaran!H12/G23*100</f>
        <v>0.2852242917471634</v>
      </c>
      <c r="N23" s="45">
        <f>+Catamaran!H12/H23*100</f>
        <v>0.2916199673849632</v>
      </c>
      <c r="P23" s="41">
        <f t="shared" si="4"/>
        <v>93.50283721764544</v>
      </c>
      <c r="Q23" s="14">
        <f t="shared" si="3"/>
        <v>91.66296835537857</v>
      </c>
      <c r="S23" s="76">
        <f t="shared" si="6"/>
        <v>123.47222313557737</v>
      </c>
      <c r="T23" s="70"/>
      <c r="U23" s="73">
        <f>+(Catamaran!H12/($Q$15/100))-B23</f>
        <v>3841.011485417027</v>
      </c>
      <c r="V23" s="75">
        <f t="shared" si="5"/>
        <v>0.984807753012208</v>
      </c>
      <c r="W23" s="73">
        <f>+(U23/V23)/(Catamaran!C12+Calcul!$J$7)</f>
        <v>1211.262508960014</v>
      </c>
      <c r="X23" s="73">
        <f t="shared" si="7"/>
        <v>123.47222313557737</v>
      </c>
    </row>
    <row r="24" spans="1:24" s="35" customFormat="1" ht="15.75">
      <c r="A24" s="7" t="str">
        <f>+Catamaran!A13</f>
        <v>Nacra 500</v>
      </c>
      <c r="B24" s="13">
        <f>+(+Catamaran!D13*9.81)*(Catamaran!C13/2)*(COS(RADIANS($J$5)))</f>
        <v>1767.9564224401063</v>
      </c>
      <c r="C24" s="13">
        <f>+(+$J$4*9.81)*(Catamaran!C13+$J$6)*(COS(RADIANS($J$5)))</f>
        <v>3300.1853218881984</v>
      </c>
      <c r="D24" s="13">
        <f>+(+$J$4*9.81)*(Catamaran!C13+$J$7)*(COS(RADIANS($J$5)))</f>
        <v>4382.213296277772</v>
      </c>
      <c r="E24" s="13">
        <f>+(+$J$4*9.81)*(Catamaran!C13+$J$8)*(COS(RADIANS($J$5)))</f>
        <v>4246.959799479075</v>
      </c>
      <c r="F24" s="13">
        <f t="shared" si="0"/>
        <v>5068.141744328304</v>
      </c>
      <c r="G24" s="13">
        <f t="shared" si="1"/>
        <v>6150.169718717879</v>
      </c>
      <c r="H24" s="13">
        <f t="shared" si="2"/>
        <v>6014.916221919181</v>
      </c>
      <c r="I24" s="34"/>
      <c r="J24" s="42">
        <f>+Catamaran!H13/Catamaran!C13</f>
        <v>7.241803278688526</v>
      </c>
      <c r="K24" s="34"/>
      <c r="L24" s="45">
        <f>+Catamaran!H13/F24*100</f>
        <v>0.3486484966560827</v>
      </c>
      <c r="M24" s="45">
        <f>+Catamaran!H13/G24*100</f>
        <v>0.2873091444325808</v>
      </c>
      <c r="N24" s="45">
        <f>+Catamaran!H13/H24*100</f>
        <v>0.2937696777156778</v>
      </c>
      <c r="P24" s="41">
        <f t="shared" si="4"/>
        <v>93.15818934469623</v>
      </c>
      <c r="Q24" s="14">
        <f t="shared" si="3"/>
        <v>92.33298066238937</v>
      </c>
      <c r="S24" s="76">
        <f t="shared" si="6"/>
        <v>124.93572681999098</v>
      </c>
      <c r="T24" s="70"/>
      <c r="U24" s="73">
        <f>+(Catamaran!H13/($Q$15/100))-B24</f>
        <v>3910.6785946477994</v>
      </c>
      <c r="V24" s="75">
        <f t="shared" si="5"/>
        <v>0.984807753012208</v>
      </c>
      <c r="W24" s="73">
        <f>+(U24/V24)/(Catamaran!C13+Calcul!$J$7)</f>
        <v>1225.6194801041115</v>
      </c>
      <c r="X24" s="73">
        <f t="shared" si="7"/>
        <v>124.93572681999098</v>
      </c>
    </row>
    <row r="25" spans="1:24" s="7" customFormat="1" ht="15.75">
      <c r="A25" s="7" t="str">
        <f>+Catamaran!A14</f>
        <v>Nacra 570</v>
      </c>
      <c r="B25" s="13">
        <f>+(+Catamaran!D14*9.81)*(Catamaran!C14/2)*(COS(RADIANS($J$5)))</f>
        <v>1921.1793123849152</v>
      </c>
      <c r="C25" s="13">
        <f>+(+$J$4*9.81)*(Catamaran!C14+$J$6)*(COS(RADIANS($J$5)))</f>
        <v>3300.1853218881984</v>
      </c>
      <c r="D25" s="13">
        <f>+(+$J$4*9.81)*(Catamaran!C14+$J$7)*(COS(RADIANS($J$5)))</f>
        <v>4382.213296277772</v>
      </c>
      <c r="E25" s="13">
        <f>+(+$J$4*9.81)*(Catamaran!C14+$J$8)*(COS(RADIANS($J$5)))</f>
        <v>4246.959799479075</v>
      </c>
      <c r="F25" s="13">
        <f t="shared" si="0"/>
        <v>5221.364634273114</v>
      </c>
      <c r="G25" s="13">
        <f t="shared" si="1"/>
        <v>6303.392608662687</v>
      </c>
      <c r="H25" s="13">
        <f t="shared" si="2"/>
        <v>6168.1391118639895</v>
      </c>
      <c r="I25" s="33"/>
      <c r="J25" s="42">
        <f>+Catamaran!H14/Catamaran!C14</f>
        <v>8.647540983606557</v>
      </c>
      <c r="K25" s="33"/>
      <c r="L25" s="45">
        <f>+Catamaran!H14/F25*100</f>
        <v>0.4041089155409544</v>
      </c>
      <c r="M25" s="45">
        <f>+Catamaran!H14/G25*100</f>
        <v>0.3347403741122279</v>
      </c>
      <c r="N25" s="45">
        <f>+Catamaran!H14/H25*100</f>
        <v>0.3420804819303704</v>
      </c>
      <c r="P25" s="41">
        <f t="shared" si="4"/>
        <v>111.24152774041258</v>
      </c>
      <c r="Q25" s="14">
        <f t="shared" si="3"/>
        <v>107.57602773439747</v>
      </c>
      <c r="S25" s="76">
        <f t="shared" si="6"/>
        <v>155.25634276415113</v>
      </c>
      <c r="T25" s="70"/>
      <c r="U25" s="73">
        <f>+(Catamaran!H14/($Q$15/100))-B25</f>
        <v>4859.760068518017</v>
      </c>
      <c r="V25" s="75">
        <f t="shared" si="5"/>
        <v>0.984807753012208</v>
      </c>
      <c r="W25" s="73">
        <f>+(U25/V25)/(Catamaran!C14+Calcul!$J$7)</f>
        <v>1523.0647225163227</v>
      </c>
      <c r="X25" s="73">
        <f t="shared" si="7"/>
        <v>155.25634276415113</v>
      </c>
    </row>
    <row r="26" spans="1:24" s="7" customFormat="1" ht="15.75">
      <c r="A26" s="7" t="str">
        <f>+Catamaran!A15</f>
        <v>Nacra 580</v>
      </c>
      <c r="B26" s="13">
        <f>+(+Catamaran!D15*9.81)*(Catamaran!C15/2)*(COS(RADIANS($J$5)))</f>
        <v>2215.838716124933</v>
      </c>
      <c r="C26" s="13">
        <f>+(+$J$4*9.81)*(Catamaran!C15+$J$6)*(COS(RADIANS($J$5)))</f>
        <v>3300.1853218881984</v>
      </c>
      <c r="D26" s="13">
        <f>+(+$J$4*9.81)*(Catamaran!C15+$J$7)*(COS(RADIANS($J$5)))</f>
        <v>4382.213296277772</v>
      </c>
      <c r="E26" s="13">
        <f>+(+$J$4*9.81)*(Catamaran!C15+$J$8)*(COS(RADIANS($J$5)))</f>
        <v>4246.959799479075</v>
      </c>
      <c r="F26" s="13">
        <f t="shared" si="0"/>
        <v>5516.024038013131</v>
      </c>
      <c r="G26" s="13">
        <f t="shared" si="1"/>
        <v>6598.052012402705</v>
      </c>
      <c r="H26" s="13">
        <f t="shared" si="2"/>
        <v>6462.798515604008</v>
      </c>
      <c r="I26" s="33"/>
      <c r="J26" s="42">
        <f>+Catamaran!H15/Catamaran!C15</f>
        <v>9.065573770491804</v>
      </c>
      <c r="K26" s="33"/>
      <c r="L26" s="45">
        <f>+Catamaran!H15/F26*100</f>
        <v>0.4010134808616174</v>
      </c>
      <c r="M26" s="45">
        <f>+Catamaran!H15/G26*100</f>
        <v>0.3352504642039783</v>
      </c>
      <c r="N26" s="45">
        <f>+Catamaran!H15/H26*100</f>
        <v>0.34226658848473607</v>
      </c>
      <c r="P26" s="41">
        <f t="shared" si="4"/>
        <v>116.61908026625242</v>
      </c>
      <c r="Q26" s="14">
        <f t="shared" si="3"/>
        <v>107.73995616998792</v>
      </c>
      <c r="S26" s="76">
        <f t="shared" si="6"/>
        <v>156.31506316621903</v>
      </c>
      <c r="T26" s="70"/>
      <c r="U26" s="73">
        <f>+(Catamaran!H15/($Q$15/100))-B26</f>
        <v>4892.899630110748</v>
      </c>
      <c r="V26" s="75">
        <f t="shared" si="5"/>
        <v>0.984807753012208</v>
      </c>
      <c r="W26" s="73">
        <f>+(U26/V26)/(Catamaran!C15+Calcul!$J$7)</f>
        <v>1533.4507696606088</v>
      </c>
      <c r="X26" s="73">
        <f t="shared" si="7"/>
        <v>156.31506316621903</v>
      </c>
    </row>
    <row r="27" spans="1:24" s="7" customFormat="1" ht="15.75">
      <c r="A27" s="7" t="str">
        <f>+Catamaran!A16</f>
        <v>SL15,5</v>
      </c>
      <c r="B27" s="13">
        <f>+(+Catamaran!D16*9.81)*(Catamaran!C16/2)*(COS(RADIANS($J$5)))</f>
        <v>1725.4481805890875</v>
      </c>
      <c r="C27" s="13">
        <f>+(+$J$4*9.81)*(Catamaran!C16+$J$6)*(COS(RADIANS($J$5)))</f>
        <v>3178.4571747693717</v>
      </c>
      <c r="D27" s="13">
        <f>+(+$J$4*9.81)*(Catamaran!C16+$J$7)*(COS(RADIANS($J$5)))</f>
        <v>4260.485149158945</v>
      </c>
      <c r="E27" s="13">
        <f>+(+$J$4*9.81)*(Catamaran!C16+$J$8)*(COS(RADIANS($J$5)))</f>
        <v>4125.231652360248</v>
      </c>
      <c r="F27" s="13">
        <f t="shared" si="0"/>
        <v>4903.905355358459</v>
      </c>
      <c r="G27" s="13">
        <f t="shared" si="1"/>
        <v>5985.9333297480325</v>
      </c>
      <c r="H27" s="13">
        <f t="shared" si="2"/>
        <v>5850.679832949335</v>
      </c>
      <c r="I27" s="33"/>
      <c r="J27" s="42">
        <f>+Catamaran!H16/Catamaran!C16</f>
        <v>5.531914893617021</v>
      </c>
      <c r="K27" s="33"/>
      <c r="L27" s="45">
        <f>+Catamaran!H16/F27*100</f>
        <v>0.26509483886745494</v>
      </c>
      <c r="M27" s="45">
        <f>+Catamaran!H16/G27*100</f>
        <v>0.21717582344919323</v>
      </c>
      <c r="N27" s="45">
        <f>+Catamaran!H16/H27*100</f>
        <v>0.22219640060951149</v>
      </c>
      <c r="P27" s="41">
        <f t="shared" si="4"/>
        <v>71.16227205658741</v>
      </c>
      <c r="Q27" s="14">
        <f t="shared" si="3"/>
        <v>69.79412766856194</v>
      </c>
      <c r="S27" s="76">
        <f t="shared" si="6"/>
        <v>80.58552858235231</v>
      </c>
      <c r="T27" s="70"/>
      <c r="U27" s="73">
        <f>+(Catamaran!H16/($Q$15/100))-B27</f>
        <v>2452.3817697302547</v>
      </c>
      <c r="V27" s="75">
        <f t="shared" si="5"/>
        <v>0.984807753012208</v>
      </c>
      <c r="W27" s="73">
        <f>+(U27/V27)/(Catamaran!C16+Calcul!$J$7)</f>
        <v>790.5440353928761</v>
      </c>
      <c r="X27" s="73">
        <f t="shared" si="7"/>
        <v>80.58552858235231</v>
      </c>
    </row>
    <row r="28" spans="1:24" s="7" customFormat="1" ht="15.75">
      <c r="A28" s="7" t="str">
        <f>+Catamaran!A17</f>
        <v>SL16</v>
      </c>
      <c r="B28" s="13">
        <f>+(+Catamaran!D17*9.81)*(Catamaran!C17/2)*(COS(RADIANS($J$5)))</f>
        <v>1703.421182539014</v>
      </c>
      <c r="C28" s="13">
        <f>+(+$J$4*9.81)*(Catamaran!C17+$J$6)*(COS(RADIANS($J$5)))</f>
        <v>3137.881125729762</v>
      </c>
      <c r="D28" s="13">
        <f>+(+$J$4*9.81)*(Catamaran!C17+$J$7)*(COS(RADIANS($J$5)))</f>
        <v>4219.9091001193365</v>
      </c>
      <c r="E28" s="13">
        <f>+(+$J$4*9.81)*(Catamaran!C17+$J$8)*(COS(RADIANS($J$5)))</f>
        <v>4084.6556033206384</v>
      </c>
      <c r="F28" s="13">
        <f t="shared" si="0"/>
        <v>4841.302308268776</v>
      </c>
      <c r="G28" s="13">
        <f t="shared" si="1"/>
        <v>5923.33028265835</v>
      </c>
      <c r="H28" s="13">
        <f t="shared" si="2"/>
        <v>5788.076785859652</v>
      </c>
      <c r="I28" s="33"/>
      <c r="J28" s="42">
        <f>+Catamaran!H17/Catamaran!C17</f>
        <v>7.543103448275863</v>
      </c>
      <c r="K28" s="33"/>
      <c r="L28" s="45">
        <f>+Catamaran!H17/F28*100</f>
        <v>0.3614729856904537</v>
      </c>
      <c r="M28" s="45">
        <f>+Catamaran!H17/G28*100</f>
        <v>0.2954419079286276</v>
      </c>
      <c r="N28" s="45">
        <f>+Catamaran!H17/H28*100</f>
        <v>0.3023456779763657</v>
      </c>
      <c r="P28" s="41">
        <f t="shared" si="4"/>
        <v>97.03409941403042</v>
      </c>
      <c r="Q28" s="14">
        <f t="shared" si="3"/>
        <v>94.9466193479777</v>
      </c>
      <c r="S28" s="76">
        <f t="shared" si="6"/>
        <v>130.0694591494618</v>
      </c>
      <c r="T28" s="70"/>
      <c r="U28" s="73">
        <f>+(Catamaran!H17/($Q$15/100))-B28</f>
        <v>3920.5806736601007</v>
      </c>
      <c r="V28" s="75">
        <f t="shared" si="5"/>
        <v>0.984807753012208</v>
      </c>
      <c r="W28" s="73">
        <f>+(U28/V28)/(Catamaran!C17+Calcul!$J$7)</f>
        <v>1275.9813942562205</v>
      </c>
      <c r="X28" s="73">
        <f t="shared" si="7"/>
        <v>130.0694591494618</v>
      </c>
    </row>
    <row r="29" spans="1:24" s="7" customFormat="1" ht="15.75">
      <c r="A29" s="7" t="str">
        <f>+Catamaran!A18</f>
        <v>Topcat k1</v>
      </c>
      <c r="B29" s="13">
        <f>+(+Catamaran!D18*9.81)*(Catamaran!C18/2)*(COS(RADIANS($J$5)))</f>
        <v>1992.573836766513</v>
      </c>
      <c r="C29" s="13">
        <f>+(+$J$4*9.81)*(Catamaran!C18+$J$6)*(COS(RADIANS($J$5)))</f>
        <v>3381.3374199674163</v>
      </c>
      <c r="D29" s="13">
        <f>+(+$J$4*9.81)*(Catamaran!C18+$J$7)*(COS(RADIANS($J$5)))</f>
        <v>4463.36539435699</v>
      </c>
      <c r="E29" s="13">
        <f>+(+$J$4*9.81)*(Catamaran!C18+$J$8)*(COS(RADIANS($J$5)))</f>
        <v>4328.111897558293</v>
      </c>
      <c r="F29" s="13">
        <f t="shared" si="0"/>
        <v>5373.911256733929</v>
      </c>
      <c r="G29" s="13">
        <f t="shared" si="1"/>
        <v>6455.939231123502</v>
      </c>
      <c r="H29" s="13">
        <f t="shared" si="2"/>
        <v>6320.685734324807</v>
      </c>
      <c r="I29" s="33"/>
      <c r="J29" s="42">
        <f>+Catamaran!H18/Catamaran!C18</f>
        <v>7.56</v>
      </c>
      <c r="K29" s="33"/>
      <c r="L29" s="45">
        <f>+Catamaran!H18/F29*100</f>
        <v>0.35169914606082914</v>
      </c>
      <c r="M29" s="45">
        <f>+Catamaran!H18/G29*100</f>
        <v>0.29275368499264676</v>
      </c>
      <c r="N29" s="45">
        <f>+Catamaran!H18/H29*100</f>
        <v>0.2990181887601623</v>
      </c>
      <c r="P29" s="41">
        <f t="shared" si="4"/>
        <v>97.25145579671785</v>
      </c>
      <c r="Q29" s="14">
        <f t="shared" si="3"/>
        <v>94.08270101758721</v>
      </c>
      <c r="S29" s="76">
        <f t="shared" si="6"/>
        <v>128.01746956061407</v>
      </c>
      <c r="T29" s="70"/>
      <c r="U29" s="73">
        <f>+(Catamaran!H18/($Q$15/100))-B29</f>
        <v>4081.34816792853</v>
      </c>
      <c r="V29" s="75">
        <f t="shared" si="5"/>
        <v>0.984807753012208</v>
      </c>
      <c r="W29" s="73">
        <f>+(U29/V29)/(Catamaran!C18+Calcul!$J$7)</f>
        <v>1255.8513763896242</v>
      </c>
      <c r="X29" s="73">
        <f t="shared" si="7"/>
        <v>128.01746956061407</v>
      </c>
    </row>
    <row r="30" spans="1:24" s="7" customFormat="1" ht="15.75">
      <c r="A30" s="7" t="str">
        <f>+Catamaran!A19</f>
        <v>Topcat k2</v>
      </c>
      <c r="B30" s="13">
        <f>+(+Catamaran!D19*9.81)*(Catamaran!C19/2)*(COS(RADIANS($J$5)))</f>
        <v>1767.9564224401063</v>
      </c>
      <c r="C30" s="13">
        <f>+(+$J$4*9.81)*(Catamaran!C19+$J$6)*(COS(RADIANS($J$5)))</f>
        <v>3300.1853218881984</v>
      </c>
      <c r="D30" s="13">
        <f>+(+$J$4*9.81)*(Catamaran!C19+$J$7)*(COS(RADIANS($J$5)))</f>
        <v>4382.213296277772</v>
      </c>
      <c r="E30" s="13">
        <f>+(+$J$4*9.81)*(Catamaran!C19+$J$8)*(COS(RADIANS($J$5)))</f>
        <v>4246.959799479075</v>
      </c>
      <c r="F30" s="13">
        <f t="shared" si="0"/>
        <v>5068.141744328304</v>
      </c>
      <c r="G30" s="13">
        <f t="shared" si="1"/>
        <v>6150.169718717879</v>
      </c>
      <c r="H30" s="13">
        <f t="shared" si="2"/>
        <v>6014.916221919181</v>
      </c>
      <c r="I30" s="33"/>
      <c r="J30" s="42">
        <f>+Catamaran!H19/Catamaran!C19</f>
        <v>7.254098360655737</v>
      </c>
      <c r="K30" s="33"/>
      <c r="L30" s="45">
        <f>+Catamaran!H19/F30*100</f>
        <v>0.3492404295875871</v>
      </c>
      <c r="M30" s="45">
        <f>+Catamaran!H19/G30*100</f>
        <v>0.28779693584927446</v>
      </c>
      <c r="N30" s="45">
        <f>+Catamaran!H19/H30*100</f>
        <v>0.2942684377797112</v>
      </c>
      <c r="P30" s="41">
        <f t="shared" si="4"/>
        <v>93.31635265427974</v>
      </c>
      <c r="Q30" s="14">
        <f t="shared" si="3"/>
        <v>92.4897429385564</v>
      </c>
      <c r="S30" s="76">
        <f t="shared" si="6"/>
        <v>125.24373566260809</v>
      </c>
      <c r="T30" s="70"/>
      <c r="U30" s="73">
        <f>+(Catamaran!H19/($Q$15/100))-B30</f>
        <v>3920.3197406869976</v>
      </c>
      <c r="V30" s="75">
        <f t="shared" si="5"/>
        <v>0.984807753012208</v>
      </c>
      <c r="W30" s="73">
        <f>+(U30/V30)/(Catamaran!C19+Calcul!$J$7)</f>
        <v>1228.6410468501854</v>
      </c>
      <c r="X30" s="73">
        <f t="shared" si="7"/>
        <v>125.24373566260809</v>
      </c>
    </row>
    <row r="31" spans="1:24" s="7" customFormat="1" ht="15.75">
      <c r="A31" s="7" t="str">
        <f>+Catamaran!A20</f>
        <v>Cata 1</v>
      </c>
      <c r="B31" s="13">
        <f>+(+Catamaran!D20*9.81)*(Catamaran!C20/2)*(COS(RADIANS($J$5)))</f>
        <v>966.0964057049761</v>
      </c>
      <c r="C31" s="13">
        <f>+(+$J$4*9.81)*(Catamaran!C20+$J$6)*(COS(RADIANS($J$5)))</f>
        <v>2705.0699359739333</v>
      </c>
      <c r="D31" s="13">
        <f>+(+$J$4*9.81)*(Catamaran!C20+$J$7)*(COS(RADIANS($J$5)))</f>
        <v>3787.0979103635063</v>
      </c>
      <c r="E31" s="13">
        <f>+(+$J$4*9.81)*(Catamaran!C20+$J$8)*(COS(RADIANS($J$5)))</f>
        <v>3651.8444135648097</v>
      </c>
      <c r="F31" s="13">
        <f t="shared" si="0"/>
        <v>3671.1663416789092</v>
      </c>
      <c r="G31" s="13">
        <f t="shared" si="1"/>
        <v>4753.194316068482</v>
      </c>
      <c r="H31" s="13">
        <f t="shared" si="2"/>
        <v>4617.940819269786</v>
      </c>
      <c r="I31" s="33"/>
      <c r="J31" s="42">
        <f>+Catamaran!H20/Catamaran!C20</f>
        <v>6.5</v>
      </c>
      <c r="K31" s="33"/>
      <c r="L31" s="45">
        <f>+Catamaran!H20/F31*100</f>
        <v>0.3541108952871582</v>
      </c>
      <c r="M31" s="45">
        <f>+Catamaran!H20/G31*100</f>
        <v>0.2735002849778865</v>
      </c>
      <c r="N31" s="45">
        <f>+Catamaran!H20/H31*100</f>
        <v>0.28151075357556515</v>
      </c>
      <c r="P31" s="41">
        <f t="shared" si="4"/>
        <v>83.6156696664902</v>
      </c>
      <c r="Q31" s="14">
        <f t="shared" si="3"/>
        <v>87.89520630780689</v>
      </c>
      <c r="S31" s="76">
        <f t="shared" si="6"/>
        <v>118.73014822657494</v>
      </c>
      <c r="T31" s="70"/>
      <c r="U31" s="73">
        <f>+(Catamaran!H20/($Q$15/100))-B31</f>
        <v>3211.733544614366</v>
      </c>
      <c r="V31" s="75">
        <f t="shared" si="5"/>
        <v>0.984807753012208</v>
      </c>
      <c r="W31" s="73">
        <f>+(U31/V31)/(Catamaran!C20+Calcul!$J$7)</f>
        <v>1164.7427541027002</v>
      </c>
      <c r="X31" s="73">
        <f t="shared" si="7"/>
        <v>118.73014822657494</v>
      </c>
    </row>
    <row r="32" spans="1:24" s="7" customFormat="1" ht="15.75">
      <c r="A32" s="7" t="str">
        <f>+Catamaran!A21</f>
        <v>Cata 2</v>
      </c>
      <c r="B32" s="13">
        <f>+(+Catamaran!D21*9.81)*(Catamaran!C21/2)*(COS(RADIANS($J$5)))</f>
        <v>966.0964057049761</v>
      </c>
      <c r="C32" s="13">
        <f>+(+$J$4*9.81)*(Catamaran!C21+$J$6)*(COS(RADIANS($J$5)))</f>
        <v>2705.0699359739333</v>
      </c>
      <c r="D32" s="13">
        <f>+(+$J$4*9.81)*(Catamaran!C21+$J$7)*(COS(RADIANS($J$5)))</f>
        <v>3787.0979103635063</v>
      </c>
      <c r="E32" s="13">
        <f>+(+$J$4*9.81)*(Catamaran!C21+$J$8)*(COS(RADIANS($J$5)))</f>
        <v>3651.8444135648097</v>
      </c>
      <c r="F32" s="13">
        <f t="shared" si="0"/>
        <v>3671.1663416789092</v>
      </c>
      <c r="G32" s="13">
        <f t="shared" si="1"/>
        <v>4753.194316068482</v>
      </c>
      <c r="H32" s="13">
        <f t="shared" si="2"/>
        <v>4617.940819269786</v>
      </c>
      <c r="I32" s="33"/>
      <c r="J32" s="42">
        <f>+Catamaran!H21/Catamaran!C21</f>
        <v>6.5</v>
      </c>
      <c r="K32" s="33"/>
      <c r="L32" s="45">
        <f>+Catamaran!H21/F32*100</f>
        <v>0.3541108952871582</v>
      </c>
      <c r="M32" s="45">
        <f>+Catamaran!H21/G32*100</f>
        <v>0.2735002849778865</v>
      </c>
      <c r="N32" s="45">
        <f>+Catamaran!H21/H32*100</f>
        <v>0.28151075357556515</v>
      </c>
      <c r="P32" s="41">
        <f t="shared" si="4"/>
        <v>83.6156696664902</v>
      </c>
      <c r="Q32" s="14">
        <f t="shared" si="3"/>
        <v>87.89520630780689</v>
      </c>
      <c r="S32" s="76">
        <f t="shared" si="6"/>
        <v>118.73014822657494</v>
      </c>
      <c r="T32" s="70"/>
      <c r="U32" s="73">
        <f>+(Catamaran!H21/($Q$15/100))-B32</f>
        <v>3211.733544614366</v>
      </c>
      <c r="V32" s="75">
        <f t="shared" si="5"/>
        <v>0.984807753012208</v>
      </c>
      <c r="W32" s="73">
        <f>+(U32/V32)/(Catamaran!C21+Calcul!$J$7)</f>
        <v>1164.7427541027002</v>
      </c>
      <c r="X32" s="73">
        <f t="shared" si="7"/>
        <v>118.73014822657494</v>
      </c>
    </row>
    <row r="33" spans="2:19" s="7" customFormat="1" ht="15">
      <c r="B33" s="64"/>
      <c r="C33" s="64"/>
      <c r="D33" s="64"/>
      <c r="E33" s="64"/>
      <c r="F33" s="33"/>
      <c r="G33" s="33"/>
      <c r="H33" s="33"/>
      <c r="I33" s="33"/>
      <c r="J33" s="33"/>
      <c r="K33" s="33"/>
      <c r="L33" s="33"/>
      <c r="M33" s="33"/>
      <c r="P33" s="57"/>
      <c r="S33" s="48"/>
    </row>
    <row r="34" spans="2:19" s="7" customFormat="1" ht="15">
      <c r="B34" s="65"/>
      <c r="C34" s="65"/>
      <c r="D34" s="65"/>
      <c r="E34" s="65"/>
      <c r="P34" s="57"/>
      <c r="S34" s="48"/>
    </row>
    <row r="35" spans="2:19" s="7" customFormat="1" ht="15">
      <c r="B35" s="65"/>
      <c r="C35" s="65"/>
      <c r="D35" s="65"/>
      <c r="E35" s="65"/>
      <c r="P35" s="57"/>
      <c r="S35" s="48"/>
    </row>
    <row r="36" spans="2:19" s="7" customFormat="1" ht="15">
      <c r="B36" s="65"/>
      <c r="C36" s="65"/>
      <c r="D36" s="65"/>
      <c r="E36" s="65"/>
      <c r="P36" s="57"/>
      <c r="S36" s="48"/>
    </row>
    <row r="37" spans="2:19" s="7" customFormat="1" ht="15">
      <c r="B37" s="66"/>
      <c r="C37" s="65"/>
      <c r="D37" s="65"/>
      <c r="E37" s="65"/>
      <c r="P37" s="57"/>
      <c r="S37" s="48"/>
    </row>
    <row r="38" spans="2:19" s="7" customFormat="1" ht="15">
      <c r="B38" s="66"/>
      <c r="C38" s="65"/>
      <c r="D38" s="65" t="s">
        <v>36</v>
      </c>
      <c r="E38" s="65"/>
      <c r="P38" s="57"/>
      <c r="S38" s="48"/>
    </row>
    <row r="39" spans="2:19" s="7" customFormat="1" ht="15">
      <c r="B39" s="66"/>
      <c r="C39" s="65"/>
      <c r="D39" s="65"/>
      <c r="E39" s="65"/>
      <c r="P39" s="57"/>
      <c r="S39" s="48"/>
    </row>
    <row r="40" spans="2:19" s="7" customFormat="1" ht="15">
      <c r="B40" s="36"/>
      <c r="P40" s="57"/>
      <c r="S40" s="48"/>
    </row>
    <row r="41" spans="2:19" s="7" customFormat="1" ht="15">
      <c r="B41" s="36"/>
      <c r="C41" s="36"/>
      <c r="D41" s="36"/>
      <c r="E41" s="36"/>
      <c r="P41" s="57"/>
      <c r="S41" s="48"/>
    </row>
    <row r="42" spans="2:19" s="7" customFormat="1" ht="15">
      <c r="B42" s="36"/>
      <c r="C42" s="36"/>
      <c r="D42" s="36"/>
      <c r="E42" s="36"/>
      <c r="P42" s="57"/>
      <c r="S42" s="48"/>
    </row>
    <row r="43" spans="2:19" s="7" customFormat="1" ht="15">
      <c r="B43" s="36"/>
      <c r="C43" s="36"/>
      <c r="D43" s="36"/>
      <c r="E43" s="36"/>
      <c r="P43" s="57"/>
      <c r="S43" s="48"/>
    </row>
    <row r="44" spans="2:19" s="7" customFormat="1" ht="15">
      <c r="B44" s="36"/>
      <c r="C44" s="36"/>
      <c r="D44" s="36"/>
      <c r="E44" s="36"/>
      <c r="P44" s="57"/>
      <c r="S44" s="48"/>
    </row>
    <row r="45" spans="2:19" s="7" customFormat="1" ht="15">
      <c r="B45" s="36"/>
      <c r="C45" s="36"/>
      <c r="D45" s="36"/>
      <c r="E45" s="36"/>
      <c r="P45" s="57"/>
      <c r="S45" s="48"/>
    </row>
    <row r="46" spans="2:19" s="7" customFormat="1" ht="15">
      <c r="B46" s="36"/>
      <c r="C46" s="36"/>
      <c r="D46" s="36"/>
      <c r="E46" s="36"/>
      <c r="P46" s="57"/>
      <c r="S46" s="48"/>
    </row>
    <row r="47" spans="2:19" s="7" customFormat="1" ht="15">
      <c r="B47" s="36"/>
      <c r="C47" s="36"/>
      <c r="D47" s="36"/>
      <c r="E47" s="36"/>
      <c r="P47" s="57"/>
      <c r="S47" s="48"/>
    </row>
    <row r="48" spans="2:19" s="7" customFormat="1" ht="15">
      <c r="B48" s="36"/>
      <c r="C48" s="36"/>
      <c r="D48" s="36"/>
      <c r="E48" s="36"/>
      <c r="P48" s="57"/>
      <c r="S48" s="48"/>
    </row>
    <row r="49" spans="2:19" s="7" customFormat="1" ht="15">
      <c r="B49" s="36"/>
      <c r="C49" s="36"/>
      <c r="D49" s="36"/>
      <c r="E49" s="36"/>
      <c r="P49" s="57"/>
      <c r="S49" s="48"/>
    </row>
    <row r="50" spans="2:19" s="7" customFormat="1" ht="15">
      <c r="B50" s="36"/>
      <c r="C50" s="36"/>
      <c r="D50" s="36"/>
      <c r="E50" s="36"/>
      <c r="S50" s="48"/>
    </row>
    <row r="51" spans="2:19" s="7" customFormat="1" ht="15">
      <c r="B51" s="36"/>
      <c r="C51" s="36"/>
      <c r="D51" s="36"/>
      <c r="E51" s="36"/>
      <c r="S51" s="48"/>
    </row>
    <row r="52" spans="2:19" s="7" customFormat="1" ht="15">
      <c r="B52" s="36"/>
      <c r="C52" s="36"/>
      <c r="D52" s="36"/>
      <c r="E52" s="36"/>
      <c r="S52" s="48"/>
    </row>
    <row r="53" spans="2:19" s="7" customFormat="1" ht="15">
      <c r="B53" s="36"/>
      <c r="C53" s="36"/>
      <c r="D53" s="36"/>
      <c r="E53" s="36"/>
      <c r="S53" s="48"/>
    </row>
    <row r="54" spans="2:19" s="7" customFormat="1" ht="15">
      <c r="B54" s="36"/>
      <c r="C54" s="36"/>
      <c r="D54" s="36"/>
      <c r="E54" s="36"/>
      <c r="S54" s="48"/>
    </row>
    <row r="55" spans="2:19" s="7" customFormat="1" ht="15">
      <c r="B55" s="36"/>
      <c r="C55" s="36"/>
      <c r="D55" s="36"/>
      <c r="E55" s="36"/>
      <c r="S55" s="48"/>
    </row>
    <row r="56" spans="2:19" s="7" customFormat="1" ht="15">
      <c r="B56" s="36"/>
      <c r="C56" s="36"/>
      <c r="D56" s="36"/>
      <c r="E56" s="36"/>
      <c r="S56" s="48"/>
    </row>
  </sheetData>
  <printOptions/>
  <pageMargins left="0.75" right="0.75" top="1" bottom="1" header="0.4921259845" footer="0.4921259845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7" sqref="A17"/>
    </sheetView>
  </sheetViews>
  <sheetFormatPr defaultColWidth="11.421875" defaultRowHeight="12.75"/>
  <cols>
    <col min="1" max="1" width="19.28125" style="49" customWidth="1"/>
    <col min="2" max="12" width="11.421875" style="49" customWidth="1"/>
  </cols>
  <sheetData>
    <row r="2" spans="1:12" s="5" customFormat="1" ht="109.5" customHeight="1">
      <c r="A2" s="50"/>
      <c r="B2" s="51" t="s">
        <v>8</v>
      </c>
      <c r="C2" s="51" t="s">
        <v>3</v>
      </c>
      <c r="D2" s="51" t="s">
        <v>23</v>
      </c>
      <c r="E2" s="51" t="s">
        <v>24</v>
      </c>
      <c r="F2" s="52" t="s">
        <v>51</v>
      </c>
      <c r="G2" s="51" t="s">
        <v>50</v>
      </c>
      <c r="H2" s="52" t="s">
        <v>52</v>
      </c>
      <c r="I2" s="51" t="s">
        <v>54</v>
      </c>
      <c r="J2" s="50"/>
      <c r="K2" s="50"/>
      <c r="L2" s="50"/>
    </row>
    <row r="3" spans="1:9" ht="25.5" customHeight="1">
      <c r="A3" s="53" t="str">
        <f>+Catamaran!A6</f>
        <v>Dart 18</v>
      </c>
      <c r="B3" s="54">
        <f>+Catamaran!B6</f>
        <v>5.48</v>
      </c>
      <c r="C3" s="54">
        <f>+Catamaran!C6</f>
        <v>2.28</v>
      </c>
      <c r="D3" s="54">
        <f>+Catamaran!H6</f>
        <v>16.08</v>
      </c>
      <c r="E3" s="54">
        <f>+Calcul!J17</f>
        <v>7.052631578947368</v>
      </c>
      <c r="F3" s="55">
        <f>+Calcul!P17</f>
        <v>90.72469421303391</v>
      </c>
      <c r="G3" s="56">
        <f>+Calcul!M17</f>
        <v>0.28726789179292256</v>
      </c>
      <c r="H3" s="55">
        <f>+Calcul!Q17</f>
        <v>92.31972323827445</v>
      </c>
      <c r="I3" s="55">
        <f>+Calcul!S17</f>
        <v>125.55210274109163</v>
      </c>
    </row>
    <row r="4" spans="1:9" ht="25.5" customHeight="1">
      <c r="A4" s="53" t="str">
        <f>+Catamaran!A7</f>
        <v>F18</v>
      </c>
      <c r="B4" s="54">
        <f>+Catamaran!B7</f>
        <v>5.52</v>
      </c>
      <c r="C4" s="54">
        <f>+Catamaran!C7</f>
        <v>2.6</v>
      </c>
      <c r="D4" s="54">
        <f>+Catamaran!H7</f>
        <v>21.15</v>
      </c>
      <c r="E4" s="54">
        <f>+Calcul!J18</f>
        <v>8.134615384615383</v>
      </c>
      <c r="F4" s="55">
        <f>+Calcul!P18</f>
        <v>104.64327890214602</v>
      </c>
      <c r="G4" s="56">
        <f>+Calcul!M18</f>
        <v>0.308341198854051</v>
      </c>
      <c r="H4" s="55">
        <f>+Calcul!Q18</f>
        <v>99.09208426844818</v>
      </c>
      <c r="I4" s="55">
        <f>+Calcul!S18</f>
        <v>138.10405832528878</v>
      </c>
    </row>
    <row r="5" spans="1:9" ht="25.5" customHeight="1">
      <c r="A5" s="53" t="str">
        <f>+Catamaran!A8</f>
        <v>Hobie 15 Club</v>
      </c>
      <c r="B5" s="54">
        <f>+Catamaran!B8</f>
        <v>4.95</v>
      </c>
      <c r="C5" s="54">
        <f>+Catamaran!C8</f>
        <v>2.26</v>
      </c>
      <c r="D5" s="54">
        <f>+Catamaran!H8</f>
        <v>15</v>
      </c>
      <c r="E5" s="54">
        <f>+Calcul!J19</f>
        <v>6.637168141592921</v>
      </c>
      <c r="F5" s="55">
        <f>+Calcul!P19</f>
        <v>85.38019366898253</v>
      </c>
      <c r="G5" s="56">
        <f>+Calcul!M19</f>
        <v>0.25725127650335544</v>
      </c>
      <c r="H5" s="55">
        <f>+Calcul!Q19</f>
        <v>82.6732375179693</v>
      </c>
      <c r="I5" s="55">
        <f>+Calcul!S19</f>
        <v>105.82494282343256</v>
      </c>
    </row>
    <row r="6" spans="1:9" ht="25.5" customHeight="1">
      <c r="A6" s="53" t="str">
        <f>+Catamaran!A9</f>
        <v>Hobie 16</v>
      </c>
      <c r="B6" s="54">
        <f>+Catamaran!B9</f>
        <v>5.05</v>
      </c>
      <c r="C6" s="54">
        <f>+Catamaran!C9</f>
        <v>2.43</v>
      </c>
      <c r="D6" s="54">
        <f>+Catamaran!H9</f>
        <v>18.89</v>
      </c>
      <c r="E6" s="54">
        <f>+Calcul!J20</f>
        <v>7.773662551440329</v>
      </c>
      <c r="F6" s="55">
        <f>+Calcul!P20</f>
        <v>100</v>
      </c>
      <c r="G6" s="56">
        <f>+Calcul!M20</f>
        <v>0.3111663268871514</v>
      </c>
      <c r="H6" s="55">
        <f>+Calcul!Q20</f>
        <v>100</v>
      </c>
      <c r="I6" s="55">
        <f>+Calcul!S20</f>
        <v>139.99999999999997</v>
      </c>
    </row>
    <row r="7" spans="1:9" ht="25.5" customHeight="1">
      <c r="A7" s="53" t="str">
        <f>+Catamaran!A10</f>
        <v>Hobie Getaway</v>
      </c>
      <c r="B7" s="54">
        <f>+Catamaran!B10</f>
        <v>5.07</v>
      </c>
      <c r="C7" s="54">
        <f>+Catamaran!C10</f>
        <v>2.4</v>
      </c>
      <c r="D7" s="54">
        <f>+Catamaran!H10</f>
        <v>16.75</v>
      </c>
      <c r="E7" s="54">
        <f>+Calcul!J21</f>
        <v>6.979166666666667</v>
      </c>
      <c r="F7" s="55">
        <f>+Calcul!P21</f>
        <v>89.77964531498148</v>
      </c>
      <c r="G7" s="56">
        <f>+Calcul!M21</f>
        <v>0.2734671012500318</v>
      </c>
      <c r="H7" s="55">
        <f>+Calcul!Q21</f>
        <v>87.88454200226116</v>
      </c>
      <c r="I7" s="55">
        <f>+Calcul!S21</f>
        <v>115.99624884197988</v>
      </c>
    </row>
    <row r="8" spans="1:9" ht="25.5" customHeight="1">
      <c r="A8" s="53" t="str">
        <f>+Catamaran!A11</f>
        <v>Hobie Pacific</v>
      </c>
      <c r="B8" s="54">
        <f>+Catamaran!B11</f>
        <v>5.48</v>
      </c>
      <c r="C8" s="54">
        <f>+Catamaran!C11</f>
        <v>2.5</v>
      </c>
      <c r="D8" s="54">
        <f>+Catamaran!H11</f>
        <v>19.65</v>
      </c>
      <c r="E8" s="54">
        <f>+Calcul!J22</f>
        <v>7.859999999999999</v>
      </c>
      <c r="F8" s="55">
        <f>+Calcul!P22</f>
        <v>101.11064055055586</v>
      </c>
      <c r="G8" s="56">
        <f>+Calcul!M22</f>
        <v>0.3043708947145772</v>
      </c>
      <c r="H8" s="55">
        <f>+Calcul!Q22</f>
        <v>97.81614153415813</v>
      </c>
      <c r="I8" s="55">
        <f>+Calcul!S22</f>
        <v>135.57768660667017</v>
      </c>
    </row>
    <row r="9" spans="1:9" ht="25.5" customHeight="1">
      <c r="A9" s="53" t="str">
        <f>+Catamaran!A12</f>
        <v>Mattia Smile</v>
      </c>
      <c r="B9" s="54">
        <f>+Catamaran!B12</f>
        <v>5.51</v>
      </c>
      <c r="C9" s="54">
        <f>+Catamaran!C12</f>
        <v>2.42</v>
      </c>
      <c r="D9" s="54">
        <f>+Catamaran!H12</f>
        <v>17.59</v>
      </c>
      <c r="E9" s="54">
        <f>+Calcul!J23</f>
        <v>7.268595041322314</v>
      </c>
      <c r="F9" s="55">
        <f>+Calcul!P23</f>
        <v>93.50283721764544</v>
      </c>
      <c r="G9" s="56">
        <f>+Calcul!M23</f>
        <v>0.2852242917471634</v>
      </c>
      <c r="H9" s="55">
        <f>+Calcul!Q23</f>
        <v>91.66296835537857</v>
      </c>
      <c r="I9" s="55">
        <f>+Calcul!S23</f>
        <v>123.47222313557737</v>
      </c>
    </row>
    <row r="10" spans="1:9" ht="25.5" customHeight="1">
      <c r="A10" s="53" t="str">
        <f>+Catamaran!A13</f>
        <v>Nacra 500</v>
      </c>
      <c r="B10" s="54">
        <f>+Catamaran!B13</f>
        <v>5</v>
      </c>
      <c r="C10" s="54">
        <f>+Catamaran!C13</f>
        <v>2.44</v>
      </c>
      <c r="D10" s="54">
        <f>+Catamaran!H13</f>
        <v>17.67</v>
      </c>
      <c r="E10" s="54">
        <f>+Calcul!J24</f>
        <v>7.241803278688526</v>
      </c>
      <c r="F10" s="55">
        <f>+Calcul!P24</f>
        <v>93.15818934469623</v>
      </c>
      <c r="G10" s="56">
        <f>+Calcul!M24</f>
        <v>0.2873091444325808</v>
      </c>
      <c r="H10" s="55">
        <f>+Calcul!Q24</f>
        <v>92.33298066238937</v>
      </c>
      <c r="I10" s="55">
        <f>+Calcul!S24</f>
        <v>124.93572681999098</v>
      </c>
    </row>
    <row r="11" spans="1:9" ht="25.5" customHeight="1">
      <c r="A11" s="53" t="str">
        <f>+Catamaran!A14</f>
        <v>Nacra 570</v>
      </c>
      <c r="B11" s="54">
        <f>+Catamaran!B14</f>
        <v>5.65</v>
      </c>
      <c r="C11" s="54">
        <f>+Catamaran!C14</f>
        <v>2.44</v>
      </c>
      <c r="D11" s="54">
        <f>+Catamaran!H14</f>
        <v>21.1</v>
      </c>
      <c r="E11" s="54">
        <f>+Calcul!J25</f>
        <v>8.647540983606557</v>
      </c>
      <c r="F11" s="55">
        <f>+Calcul!P25</f>
        <v>111.24152774041258</v>
      </c>
      <c r="G11" s="56">
        <f>+Calcul!M25</f>
        <v>0.3347403741122279</v>
      </c>
      <c r="H11" s="55">
        <f>+Calcul!Q25</f>
        <v>107.57602773439747</v>
      </c>
      <c r="I11" s="55">
        <f>+Calcul!S25</f>
        <v>155.25634276415113</v>
      </c>
    </row>
    <row r="12" spans="1:9" ht="25.5" customHeight="1">
      <c r="A12" s="53" t="str">
        <f>+Catamaran!A15</f>
        <v>Nacra 580</v>
      </c>
      <c r="B12" s="54">
        <f>+Catamaran!B15</f>
        <v>5.8</v>
      </c>
      <c r="C12" s="54">
        <f>+Catamaran!C15</f>
        <v>2.44</v>
      </c>
      <c r="D12" s="54">
        <f>+Catamaran!H15</f>
        <v>22.12</v>
      </c>
      <c r="E12" s="54">
        <f>+Calcul!J26</f>
        <v>9.065573770491804</v>
      </c>
      <c r="F12" s="55">
        <f>+Calcul!P26</f>
        <v>116.61908026625242</v>
      </c>
      <c r="G12" s="56">
        <f>+Calcul!M26</f>
        <v>0.3352504642039783</v>
      </c>
      <c r="H12" s="55">
        <f>+Calcul!Q26</f>
        <v>107.73995616998792</v>
      </c>
      <c r="I12" s="55">
        <f>+Calcul!S26</f>
        <v>156.31506316621903</v>
      </c>
    </row>
    <row r="13" spans="1:9" ht="25.5" customHeight="1">
      <c r="A13" s="53" t="str">
        <f>+Catamaran!A16</f>
        <v>SL15,5</v>
      </c>
      <c r="B13" s="54">
        <f>+Catamaran!B16</f>
        <v>4.8</v>
      </c>
      <c r="C13" s="54">
        <f>+Catamaran!C16</f>
        <v>2.35</v>
      </c>
      <c r="D13" s="54">
        <f>+Catamaran!H16</f>
        <v>13</v>
      </c>
      <c r="E13" s="54">
        <f>+Calcul!J27</f>
        <v>5.531914893617021</v>
      </c>
      <c r="F13" s="55">
        <f>+Calcul!P27</f>
        <v>71.16227205658741</v>
      </c>
      <c r="G13" s="56">
        <f>+Calcul!M27</f>
        <v>0.21717582344919323</v>
      </c>
      <c r="H13" s="55">
        <f>+Calcul!Q27</f>
        <v>69.79412766856194</v>
      </c>
      <c r="I13" s="55">
        <f>+Calcul!S27</f>
        <v>80.58552858235231</v>
      </c>
    </row>
    <row r="14" spans="1:9" ht="25.5" customHeight="1">
      <c r="A14" s="53" t="str">
        <f>+Catamaran!A17</f>
        <v>SL16</v>
      </c>
      <c r="B14" s="54">
        <f>+Catamaran!B17</f>
        <v>4.8</v>
      </c>
      <c r="C14" s="54">
        <f>+Catamaran!C17</f>
        <v>2.32</v>
      </c>
      <c r="D14" s="54">
        <f>+Catamaran!H17</f>
        <v>17.5</v>
      </c>
      <c r="E14" s="54">
        <f>+Calcul!J28</f>
        <v>7.543103448275863</v>
      </c>
      <c r="F14" s="55">
        <f>+Calcul!P28</f>
        <v>97.03409941403042</v>
      </c>
      <c r="G14" s="56">
        <f>+Calcul!M28</f>
        <v>0.2954419079286276</v>
      </c>
      <c r="H14" s="55">
        <f>+Calcul!Q28</f>
        <v>94.9466193479777</v>
      </c>
      <c r="I14" s="55">
        <f>+Calcul!S28</f>
        <v>130.0694591494618</v>
      </c>
    </row>
    <row r="15" spans="1:9" ht="25.5" customHeight="1">
      <c r="A15" s="53" t="str">
        <f>+Catamaran!A18</f>
        <v>Topcat k1</v>
      </c>
      <c r="B15" s="54">
        <f>+Catamaran!B18</f>
        <v>5.5</v>
      </c>
      <c r="C15" s="54">
        <f>+Catamaran!C18</f>
        <v>2.5</v>
      </c>
      <c r="D15" s="54">
        <f>+Catamaran!H18</f>
        <v>18.9</v>
      </c>
      <c r="E15" s="54">
        <f>+Calcul!J29</f>
        <v>7.56</v>
      </c>
      <c r="F15" s="55">
        <f>+Calcul!P29</f>
        <v>97.25145579671785</v>
      </c>
      <c r="G15" s="56">
        <f>+Calcul!M29</f>
        <v>0.29275368499264676</v>
      </c>
      <c r="H15" s="55">
        <f>+Calcul!Q29</f>
        <v>94.08270101758721</v>
      </c>
      <c r="I15" s="55">
        <f>+Calcul!S29</f>
        <v>128.01746956061407</v>
      </c>
    </row>
    <row r="16" spans="1:9" ht="25.5" customHeight="1">
      <c r="A16" s="53" t="str">
        <f>+Catamaran!A19</f>
        <v>Topcat k2</v>
      </c>
      <c r="B16" s="54">
        <f>+Catamaran!B19</f>
        <v>5.17</v>
      </c>
      <c r="C16" s="54">
        <f>+Catamaran!C19</f>
        <v>2.44</v>
      </c>
      <c r="D16" s="54">
        <f>+Catamaran!H19</f>
        <v>17.7</v>
      </c>
      <c r="E16" s="54">
        <f>+Calcul!J30</f>
        <v>7.254098360655737</v>
      </c>
      <c r="F16" s="55">
        <f>+Calcul!P30</f>
        <v>93.31635265427974</v>
      </c>
      <c r="G16" s="56">
        <f>+Calcul!M30</f>
        <v>0.28779693584927446</v>
      </c>
      <c r="H16" s="55">
        <f>+Calcul!Q30</f>
        <v>92.4897429385564</v>
      </c>
      <c r="I16" s="55">
        <f>+Calcul!S30</f>
        <v>125.24373566260809</v>
      </c>
    </row>
    <row r="17" spans="1:9" ht="25.5" customHeight="1">
      <c r="A17" s="53" t="str">
        <f>+Catamaran!A20</f>
        <v>Cata 1</v>
      </c>
      <c r="B17" s="54">
        <f>+Catamaran!B20</f>
        <v>5</v>
      </c>
      <c r="C17" s="54">
        <f>+Catamaran!C20</f>
        <v>2</v>
      </c>
      <c r="D17" s="54">
        <f>+Catamaran!H20</f>
        <v>13</v>
      </c>
      <c r="E17" s="54">
        <f>+Calcul!J31</f>
        <v>6.5</v>
      </c>
      <c r="F17" s="55">
        <f>+Calcul!P31</f>
        <v>83.6156696664902</v>
      </c>
      <c r="G17" s="56">
        <f>+Calcul!M31</f>
        <v>0.2735002849778865</v>
      </c>
      <c r="H17" s="55">
        <f>+Calcul!Q31</f>
        <v>87.89520630780689</v>
      </c>
      <c r="I17" s="55">
        <f>+Calcul!S31</f>
        <v>118.73014822657494</v>
      </c>
    </row>
    <row r="18" spans="1:9" ht="25.5" customHeight="1">
      <c r="A18" s="53" t="str">
        <f>+Catamaran!A21</f>
        <v>Cata 2</v>
      </c>
      <c r="B18" s="54">
        <f>+Catamaran!B21</f>
        <v>5</v>
      </c>
      <c r="C18" s="54">
        <f>+Catamaran!C21</f>
        <v>2</v>
      </c>
      <c r="D18" s="54">
        <f>+Catamaran!H21</f>
        <v>13</v>
      </c>
      <c r="E18" s="54">
        <f>+Calcul!J32</f>
        <v>6.5</v>
      </c>
      <c r="F18" s="55">
        <f>+Calcul!P32</f>
        <v>83.6156696664902</v>
      </c>
      <c r="G18" s="56">
        <f>+Calcul!M32</f>
        <v>0.2735002849778865</v>
      </c>
      <c r="H18" s="55">
        <f>+Calcul!Q32</f>
        <v>87.89520630780689</v>
      </c>
      <c r="I18" s="55">
        <f>+Calcul!S32</f>
        <v>118.73014822657494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2008-10-16T20:03:10Z</cp:lastPrinted>
  <dcterms:created xsi:type="dcterms:W3CDTF">2004-10-07T15:21:44Z</dcterms:created>
  <dcterms:modified xsi:type="dcterms:W3CDTF">2008-10-24T08:59:57Z</dcterms:modified>
  <cp:category/>
  <cp:version/>
  <cp:contentType/>
  <cp:contentStatus/>
</cp:coreProperties>
</file>